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480" yWindow="30" windowWidth="27855" windowHeight="12660"/>
  </bookViews>
  <sheets>
    <sheet name="계산" sheetId="4" r:id="rId1"/>
  </sheets>
  <definedNames>
    <definedName name="_xlnm.Print_Area" localSheetId="0">계산!$A$1:$AD$33</definedName>
    <definedName name="단위">#REF!</definedName>
    <definedName name="종류">#REF!</definedName>
    <definedName name="카플링종류">#REF!</definedName>
  </definedNames>
  <calcPr calcId="152511"/>
</workbook>
</file>

<file path=xl/calcChain.xml><?xml version="1.0" encoding="utf-8"?>
<calcChain xmlns="http://schemas.openxmlformats.org/spreadsheetml/2006/main">
  <c r="AO19" i="4" l="1"/>
  <c r="AL19" i="4" l="1"/>
  <c r="AL17" i="4"/>
  <c r="AM19" i="4"/>
  <c r="AM17" i="4"/>
  <c r="AO17" i="4"/>
  <c r="AI19" i="4"/>
  <c r="AS19" i="4"/>
  <c r="AS17" i="4"/>
  <c r="AR19" i="4"/>
  <c r="AR17" i="4"/>
  <c r="AQ19" i="4"/>
  <c r="AQ17" i="4"/>
  <c r="AP19" i="4"/>
  <c r="AP17" i="4"/>
  <c r="AK19" i="4"/>
  <c r="AK17" i="4"/>
  <c r="AJ19" i="4"/>
  <c r="AJ17" i="4"/>
  <c r="AI17" i="4"/>
  <c r="AH19" i="4"/>
  <c r="AH17" i="4"/>
  <c r="U23" i="4"/>
  <c r="M23" i="4"/>
  <c r="E23" i="4"/>
  <c r="U20" i="4"/>
  <c r="M20" i="4"/>
  <c r="E20" i="4"/>
  <c r="K12" i="4" l="1"/>
  <c r="AA7" i="4"/>
  <c r="V12" i="4" l="1"/>
  <c r="AN19" i="4" l="1"/>
  <c r="AN17" i="4"/>
  <c r="AP18" i="4"/>
  <c r="AP20" i="4" s="1"/>
  <c r="AP21" i="4" s="1"/>
  <c r="AP22" i="4" s="1"/>
  <c r="AO16" i="4"/>
  <c r="AO18" i="4"/>
  <c r="AN16" i="4"/>
  <c r="Y20" i="4" s="1"/>
  <c r="AQ16" i="4"/>
  <c r="AM16" i="4"/>
  <c r="AK16" i="4"/>
  <c r="AJ16" i="4"/>
  <c r="AR16" i="4"/>
  <c r="AI16" i="4"/>
  <c r="AK18" i="4"/>
  <c r="AN18" i="4"/>
  <c r="AS18" i="4"/>
  <c r="AS20" i="4" s="1"/>
  <c r="AS21" i="4" s="1"/>
  <c r="AS22" i="4" s="1"/>
  <c r="AR18" i="4"/>
  <c r="V13" i="4"/>
  <c r="AH16" i="4"/>
  <c r="AJ18" i="4"/>
  <c r="AM18" i="4"/>
  <c r="AM20" i="4" s="1"/>
  <c r="AM21" i="4" s="1"/>
  <c r="AM22" i="4" s="1"/>
  <c r="AH18" i="4"/>
  <c r="AI18" i="4"/>
  <c r="V14" i="4"/>
  <c r="AQ18" i="4"/>
  <c r="AQ20" i="4" s="1"/>
  <c r="AQ21" i="4" s="1"/>
  <c r="AQ22" i="4" s="1"/>
  <c r="AP16" i="4"/>
  <c r="AS16" i="4"/>
  <c r="AL16" i="4"/>
  <c r="AL18" i="4"/>
  <c r="AL20" i="4" s="1"/>
  <c r="AL21" i="4" s="1"/>
  <c r="AL22" i="4" s="1"/>
  <c r="Q20" i="4" l="1"/>
  <c r="AO22" i="4"/>
  <c r="AO20" i="4"/>
  <c r="AO21" i="4" s="1"/>
  <c r="AR20" i="4"/>
  <c r="AR21" i="4" s="1"/>
  <c r="AR22" i="4" s="1"/>
  <c r="AN20" i="4"/>
  <c r="AN21" i="4" s="1"/>
  <c r="AN22" i="4" s="1"/>
  <c r="Y23" i="4" s="1"/>
  <c r="I20" i="4"/>
  <c r="AH20" i="4"/>
  <c r="AH21" i="4" s="1"/>
  <c r="AH22" i="4" s="1"/>
  <c r="AK20" i="4"/>
  <c r="AK21" i="4" s="1"/>
  <c r="AK22" i="4" s="1"/>
  <c r="AJ20" i="4"/>
  <c r="AJ21" i="4" s="1"/>
  <c r="AJ22" i="4" s="1"/>
  <c r="AI20" i="4"/>
  <c r="AI21" i="4" s="1"/>
  <c r="AI22" i="4" s="1"/>
  <c r="I23" i="4" l="1"/>
  <c r="Q23" i="4"/>
</calcChain>
</file>

<file path=xl/sharedStrings.xml><?xml version="1.0" encoding="utf-8"?>
<sst xmlns="http://schemas.openxmlformats.org/spreadsheetml/2006/main" count="81" uniqueCount="69">
  <si>
    <t>rpm</t>
    <phoneticPr fontId="9" type="noConversion"/>
  </si>
  <si>
    <t>SF=</t>
    <phoneticPr fontId="4" type="noConversion"/>
  </si>
  <si>
    <t>T =</t>
    <phoneticPr fontId="9" type="noConversion"/>
  </si>
  <si>
    <t xml:space="preserve"> </t>
    <phoneticPr fontId="9" type="noConversion"/>
  </si>
  <si>
    <t xml:space="preserve"> </t>
    <phoneticPr fontId="4" type="noConversion"/>
  </si>
  <si>
    <t>Nm</t>
    <phoneticPr fontId="9" type="noConversion"/>
  </si>
  <si>
    <t>N</t>
    <phoneticPr fontId="4" type="noConversion"/>
  </si>
  <si>
    <t>mm</t>
    <phoneticPr fontId="9" type="noConversion"/>
  </si>
  <si>
    <t xml:space="preserve"> </t>
    <phoneticPr fontId="1" type="noConversion"/>
  </si>
  <si>
    <t>kgf-m</t>
    <phoneticPr fontId="9" type="noConversion"/>
  </si>
  <si>
    <t>N=</t>
    <phoneticPr fontId="4" type="noConversion"/>
  </si>
  <si>
    <t>⊙계산 TORQUE</t>
    <phoneticPr fontId="4" type="noConversion"/>
  </si>
  <si>
    <t xml:space="preserve"> </t>
    <phoneticPr fontId="1" type="noConversion"/>
  </si>
  <si>
    <t xml:space="preserve"> </t>
    <phoneticPr fontId="1" type="noConversion"/>
  </si>
  <si>
    <t>⊙사용 할 Coupling 종류를 아래 콤보박스 에서 선택 해주십시오</t>
    <phoneticPr fontId="4" type="noConversion"/>
  </si>
  <si>
    <t xml:space="preserve"> </t>
    <phoneticPr fontId="1" type="noConversion"/>
  </si>
  <si>
    <t>사용할 카플링 종류를 선택해 주세요</t>
    <phoneticPr fontId="1" type="noConversion"/>
  </si>
  <si>
    <t>Gear coupling (중앙카프링 standard)</t>
    <phoneticPr fontId="1" type="noConversion"/>
  </si>
  <si>
    <t>Gear coupling (미국 AGMA standard)</t>
    <phoneticPr fontId="1" type="noConversion"/>
  </si>
  <si>
    <t>Disk(디스크) coupling</t>
    <phoneticPr fontId="1" type="noConversion"/>
  </si>
  <si>
    <t>Grid(그리드) coupling</t>
    <phoneticPr fontId="1" type="noConversion"/>
  </si>
  <si>
    <t>Rubber(라바) coupling</t>
    <phoneticPr fontId="1" type="noConversion"/>
  </si>
  <si>
    <t>Tire(타이어) coupling</t>
    <phoneticPr fontId="1" type="noConversion"/>
  </si>
  <si>
    <t>Wire drum(와이어드럼) coupling</t>
    <phoneticPr fontId="1" type="noConversion"/>
  </si>
  <si>
    <t>Jaw(죠) coupling</t>
    <phoneticPr fontId="1" type="noConversion"/>
  </si>
  <si>
    <t>SSM</t>
    <phoneticPr fontId="1" type="noConversion"/>
  </si>
  <si>
    <t>CCM</t>
    <phoneticPr fontId="1" type="noConversion"/>
  </si>
  <si>
    <t>GD</t>
    <phoneticPr fontId="1" type="noConversion"/>
  </si>
  <si>
    <t>GDL</t>
    <phoneticPr fontId="1" type="noConversion"/>
  </si>
  <si>
    <t xml:space="preserve"> </t>
    <phoneticPr fontId="1" type="noConversion"/>
  </si>
  <si>
    <t>→</t>
    <phoneticPr fontId="1" type="noConversion"/>
  </si>
  <si>
    <t>SH</t>
    <phoneticPr fontId="1" type="noConversion"/>
  </si>
  <si>
    <t>RF</t>
    <phoneticPr fontId="1" type="noConversion"/>
  </si>
  <si>
    <t>JAC</t>
    <phoneticPr fontId="1" type="noConversion"/>
  </si>
  <si>
    <t>D</t>
    <phoneticPr fontId="1" type="noConversion"/>
  </si>
  <si>
    <t>(4-bolt) A3-</t>
    <phoneticPr fontId="1" type="noConversion"/>
  </si>
  <si>
    <t>(6-bolt) E4-</t>
    <phoneticPr fontId="1" type="noConversion"/>
  </si>
  <si>
    <t>(8-bolt) G4-</t>
    <phoneticPr fontId="1" type="noConversion"/>
  </si>
  <si>
    <t xml:space="preserve"> </t>
    <phoneticPr fontId="1" type="noConversion"/>
  </si>
  <si>
    <t>CR</t>
    <phoneticPr fontId="1" type="noConversion"/>
  </si>
  <si>
    <t>단순히 Torque 만을 기준으로 한 규격은</t>
    <phoneticPr fontId="1" type="noConversion"/>
  </si>
  <si>
    <t>D=</t>
    <phoneticPr fontId="1" type="noConversion"/>
  </si>
  <si>
    <t>P=</t>
    <phoneticPr fontId="9" type="noConversion"/>
  </si>
  <si>
    <t>T=</t>
    <phoneticPr fontId="1" type="noConversion"/>
  </si>
  <si>
    <t xml:space="preserve">*노란색 부분에 빠짐없이 입력 하여야 정확한 값을 얻을수 있습니다. </t>
    <phoneticPr fontId="4" type="noConversion"/>
  </si>
  <si>
    <t>/</t>
    <phoneticPr fontId="1" type="noConversion"/>
  </si>
  <si>
    <t>lbf-in</t>
    <phoneticPr fontId="1" type="noConversion"/>
  </si>
  <si>
    <t>규격(TORQUE)</t>
    <phoneticPr fontId="1" type="noConversion"/>
  </si>
  <si>
    <r>
      <t xml:space="preserve">Torque와 사용 축경을 동시에 검토한 </t>
    </r>
    <r>
      <rPr>
        <b/>
        <u/>
        <sz val="10"/>
        <color rgb="FFFF0000"/>
        <rFont val="맑은 고딕"/>
        <family val="3"/>
        <charset val="129"/>
        <scheme val="minor"/>
      </rPr>
      <t>실제 사용 가능한 규격</t>
    </r>
    <r>
      <rPr>
        <u/>
        <sz val="10"/>
        <color rgb="FFFF0000"/>
        <rFont val="맑은 고딕"/>
        <family val="3"/>
        <charset val="129"/>
        <scheme val="minor"/>
      </rPr>
      <t>은</t>
    </r>
    <phoneticPr fontId="1" type="noConversion"/>
  </si>
  <si>
    <t>→</t>
    <phoneticPr fontId="1" type="noConversion"/>
  </si>
  <si>
    <t>규격(BORE)</t>
    <phoneticPr fontId="1" type="noConversion"/>
  </si>
  <si>
    <t>규격(BORE)-정리-1</t>
    <phoneticPr fontId="1" type="noConversion"/>
  </si>
  <si>
    <t>규격(TORQUE)-정리-2</t>
    <phoneticPr fontId="1" type="noConversion"/>
  </si>
  <si>
    <t>구분</t>
    <phoneticPr fontId="1" type="noConversion"/>
  </si>
  <si>
    <t>http://jacoup.co.kr</t>
    <phoneticPr fontId="1" type="noConversion"/>
  </si>
  <si>
    <t>본사,공장 : 부산시 사상구 학장동 720-1</t>
    <phoneticPr fontId="1" type="noConversion"/>
  </si>
  <si>
    <t>대표전화 : +82-51-317-0822</t>
    <phoneticPr fontId="1" type="noConversion"/>
  </si>
  <si>
    <t xml:space="preserve">(1) 전달 동력 (Power)    </t>
    <phoneticPr fontId="4" type="noConversion"/>
  </si>
  <si>
    <t xml:space="preserve">(2) 사용 회전수 (실제 카플링 쪽 회전수)  </t>
    <phoneticPr fontId="4" type="noConversion"/>
  </si>
  <si>
    <t xml:space="preserve">(3) 안전계수 (SF : service Factor)    </t>
    <phoneticPr fontId="4" type="noConversion"/>
  </si>
  <si>
    <t>(4) 사용 축경 (양쪽 Shaft 중 큰쪽 칫수를 기입할것)</t>
    <phoneticPr fontId="4" type="noConversion"/>
  </si>
  <si>
    <t>(**필히 "(4)사용축경" 항목을 입력 하여야 규격이 선정 됩니다**)</t>
    <phoneticPr fontId="1" type="noConversion"/>
  </si>
  <si>
    <t>㈜중앙카프링</t>
    <phoneticPr fontId="1" type="noConversion"/>
  </si>
  <si>
    <t>중간규격</t>
    <phoneticPr fontId="1" type="noConversion"/>
  </si>
  <si>
    <t>최종규격</t>
    <phoneticPr fontId="1" type="noConversion"/>
  </si>
  <si>
    <t xml:space="preserve">⊙계산에 사용할 동력단위를 오른쪽 에서 선택 해주십시오 </t>
    <phoneticPr fontId="4" type="noConversion"/>
  </si>
  <si>
    <t xml:space="preserve">Best of the Best Coupling </t>
    <phoneticPr fontId="1" type="noConversion"/>
  </si>
  <si>
    <t xml:space="preserve"> </t>
    <phoneticPr fontId="1" type="noConversion"/>
  </si>
  <si>
    <r>
      <t xml:space="preserve"> TORQUE 계산및 규격 선정 도우미 프로그램
</t>
    </r>
    <r>
      <rPr>
        <b/>
        <sz val="12"/>
        <rFont val="맑은 고딕"/>
        <family val="3"/>
        <charset val="129"/>
        <scheme val="minor"/>
      </rPr>
      <t xml:space="preserve">     </t>
    </r>
    <r>
      <rPr>
        <b/>
        <sz val="12"/>
        <color rgb="FF0000FF"/>
        <rFont val="맑은 고딕"/>
        <family val="3"/>
        <charset val="129"/>
        <scheme val="minor"/>
      </rPr>
      <t xml:space="preserve"> </t>
    </r>
    <r>
      <rPr>
        <sz val="9"/>
        <color rgb="FF0000FF"/>
        <rFont val="맑은 고딕"/>
        <family val="3"/>
        <charset val="129"/>
        <scheme val="minor"/>
      </rPr>
      <t>* 17/06/29 (v1.1)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</si>
</sst>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176" formatCode="#,##0_ "/>
    <numFmt numFmtId="177" formatCode="0_);[Red]\(0\)"/>
    <numFmt numFmtId="178" formatCode="0.0_);[Red]\(0.0\)"/>
    <numFmt numFmtId="179" formatCode="0_ "/>
  </numFmts>
  <fonts count="3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name val="굴림체"/>
      <family val="3"/>
      <charset val="129"/>
    </font>
    <font>
      <b/>
      <sz val="10"/>
      <color theme="8" tint="-0.249977111117893"/>
      <name val="맑은 고딕"/>
      <family val="3"/>
      <charset val="129"/>
      <scheme val="minor"/>
    </font>
    <font>
      <sz val="8"/>
      <name val="돋움"/>
      <family val="3"/>
      <charset val="129"/>
    </font>
    <font>
      <b/>
      <sz val="1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sz val="8"/>
      <name val="굴림체"/>
      <family val="3"/>
      <charset val="129"/>
    </font>
    <font>
      <sz val="10"/>
      <color rgb="FFFF000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0"/>
      <color rgb="FF0000FF"/>
      <name val="맑은 고딕"/>
      <family val="3"/>
      <charset val="129"/>
      <scheme val="minor"/>
    </font>
    <font>
      <b/>
      <u/>
      <sz val="10"/>
      <color rgb="FF0000FF"/>
      <name val="맑은 고딕"/>
      <family val="3"/>
      <charset val="129"/>
      <scheme val="minor"/>
    </font>
    <font>
      <sz val="10"/>
      <color rgb="FFFF0066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u/>
      <sz val="12"/>
      <name val="맑은 고딕"/>
      <family val="3"/>
      <charset val="129"/>
      <scheme val="minor"/>
    </font>
    <font>
      <sz val="9"/>
      <color rgb="FFFF0066"/>
      <name val="맑은 고딕"/>
      <family val="2"/>
      <charset val="129"/>
      <scheme val="minor"/>
    </font>
    <font>
      <sz val="9"/>
      <color rgb="FFFF0066"/>
      <name val="맑은 고딕"/>
      <family val="3"/>
      <charset val="129"/>
      <scheme val="minor"/>
    </font>
    <font>
      <u/>
      <sz val="10"/>
      <name val="맑은 고딕"/>
      <family val="3"/>
      <charset val="129"/>
      <scheme val="minor"/>
    </font>
    <font>
      <sz val="10"/>
      <color rgb="FF0000FF"/>
      <name val="맑은 고딕"/>
      <family val="3"/>
      <charset val="129"/>
      <scheme val="minor"/>
    </font>
    <font>
      <u/>
      <sz val="10"/>
      <color rgb="FFFF0000"/>
      <name val="맑은 고딕"/>
      <family val="3"/>
      <charset val="129"/>
      <scheme val="minor"/>
    </font>
    <font>
      <b/>
      <u/>
      <sz val="10"/>
      <color rgb="FFFF0000"/>
      <name val="맑은 고딕"/>
      <family val="3"/>
      <charset val="129"/>
      <scheme val="minor"/>
    </font>
    <font>
      <sz val="10"/>
      <color rgb="FF00B050"/>
      <name val="맑은 고딕"/>
      <family val="3"/>
      <charset val="129"/>
      <scheme val="minor"/>
    </font>
    <font>
      <u/>
      <sz val="11"/>
      <color theme="10"/>
      <name val="맑은 고딕"/>
      <family val="3"/>
      <charset val="129"/>
    </font>
    <font>
      <i/>
      <sz val="10"/>
      <name val="맑은 고딕"/>
      <family val="3"/>
      <charset val="129"/>
      <scheme val="minor"/>
    </font>
    <font>
      <i/>
      <sz val="9"/>
      <name val="맑은 고딕"/>
      <family val="3"/>
      <charset val="129"/>
      <scheme val="minor"/>
    </font>
    <font>
      <i/>
      <u/>
      <sz val="9"/>
      <color theme="10"/>
      <name val="맑은 고딕"/>
      <family val="3"/>
      <charset val="129"/>
    </font>
    <font>
      <b/>
      <i/>
      <sz val="10"/>
      <name val="맑은 고딕"/>
      <family val="3"/>
      <charset val="129"/>
      <scheme val="minor"/>
    </font>
    <font>
      <sz val="9"/>
      <color rgb="FF000000"/>
      <name val="굴림"/>
      <family val="3"/>
      <charset val="129"/>
    </font>
    <font>
      <b/>
      <sz val="12"/>
      <name val="맑은 고딕"/>
      <family val="3"/>
      <charset val="129"/>
      <scheme val="minor"/>
    </font>
    <font>
      <b/>
      <sz val="12"/>
      <color rgb="FF0000FF"/>
      <name val="맑은 고딕"/>
      <family val="3"/>
      <charset val="129"/>
      <scheme val="minor"/>
    </font>
    <font>
      <sz val="9"/>
      <color rgb="FF0000FF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2" fillId="0" borderId="0"/>
    <xf numFmtId="41" fontId="2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top"/>
      <protection locked="0"/>
    </xf>
  </cellStyleXfs>
  <cellXfs count="128">
    <xf numFmtId="0" fontId="0" fillId="0" borderId="0" xfId="0">
      <alignment vertical="center"/>
    </xf>
    <xf numFmtId="0" fontId="7" fillId="0" borderId="0" xfId="1" applyFont="1" applyBorder="1" applyAlignment="1" applyProtection="1">
      <alignment vertical="center"/>
      <protection hidden="1"/>
    </xf>
    <xf numFmtId="0" fontId="7" fillId="0" borderId="0" xfId="1" applyFont="1" applyAlignment="1" applyProtection="1">
      <alignment vertical="center"/>
      <protection hidden="1"/>
    </xf>
    <xf numFmtId="0" fontId="17" fillId="0" borderId="0" xfId="0" applyFont="1" applyFill="1" applyBorder="1" applyAlignment="1" applyProtection="1">
      <alignment horizontal="left" vertical="center" indent="1"/>
      <protection hidden="1"/>
    </xf>
    <xf numFmtId="0" fontId="18" fillId="0" borderId="0" xfId="0" applyFont="1" applyBorder="1" applyAlignment="1" applyProtection="1">
      <alignment horizontal="left" vertical="center" indent="1"/>
      <protection hidden="1"/>
    </xf>
    <xf numFmtId="0" fontId="8" fillId="0" borderId="0" xfId="1" applyFont="1" applyBorder="1" applyAlignment="1" applyProtection="1">
      <alignment vertical="center"/>
      <protection hidden="1"/>
    </xf>
    <xf numFmtId="0" fontId="8" fillId="0" borderId="0" xfId="1" applyFont="1" applyFill="1" applyBorder="1" applyAlignment="1" applyProtection="1">
      <alignment vertical="center"/>
      <protection hidden="1"/>
    </xf>
    <xf numFmtId="0" fontId="8" fillId="0" borderId="0" xfId="1" applyFont="1" applyBorder="1" applyAlignment="1" applyProtection="1">
      <alignment horizontal="center" vertical="center"/>
      <protection hidden="1"/>
    </xf>
    <xf numFmtId="0" fontId="5" fillId="0" borderId="0" xfId="1" applyFont="1" applyFill="1" applyBorder="1" applyAlignment="1" applyProtection="1">
      <alignment vertical="center"/>
      <protection hidden="1"/>
    </xf>
    <xf numFmtId="0" fontId="5" fillId="0" borderId="0" xfId="1" applyFont="1" applyBorder="1" applyAlignment="1" applyProtection="1">
      <alignment vertical="center"/>
      <protection hidden="1"/>
    </xf>
    <xf numFmtId="178" fontId="5" fillId="0" borderId="0" xfId="1" applyNumberFormat="1" applyFont="1" applyFill="1" applyBorder="1" applyAlignment="1" applyProtection="1">
      <alignment vertical="center"/>
      <protection hidden="1"/>
    </xf>
    <xf numFmtId="0" fontId="6" fillId="0" borderId="0" xfId="1" applyFont="1" applyFill="1" applyBorder="1" applyAlignment="1" applyProtection="1">
      <alignment vertical="center"/>
      <protection hidden="1"/>
    </xf>
    <xf numFmtId="0" fontId="6" fillId="0" borderId="0" xfId="1" applyFont="1" applyBorder="1" applyAlignment="1" applyProtection="1">
      <alignment vertical="center"/>
      <protection hidden="1"/>
    </xf>
    <xf numFmtId="0" fontId="3" fillId="0" borderId="0" xfId="1" applyFont="1" applyBorder="1" applyAlignment="1" applyProtection="1">
      <alignment vertical="center"/>
      <protection hidden="1"/>
    </xf>
    <xf numFmtId="20" fontId="5" fillId="0" borderId="0" xfId="1" applyNumberFormat="1" applyFont="1" applyBorder="1" applyAlignment="1" applyProtection="1">
      <alignment horizontal="right" vertical="center"/>
      <protection hidden="1"/>
    </xf>
    <xf numFmtId="0" fontId="5" fillId="0" borderId="0" xfId="1" applyFont="1" applyBorder="1" applyAlignment="1" applyProtection="1">
      <alignment horizontal="center" vertical="center"/>
      <protection hidden="1"/>
    </xf>
    <xf numFmtId="0" fontId="5" fillId="0" borderId="0" xfId="1" quotePrefix="1" applyFont="1" applyBorder="1" applyAlignment="1" applyProtection="1">
      <alignment horizontal="center" vertical="center"/>
      <protection hidden="1"/>
    </xf>
    <xf numFmtId="176" fontId="5" fillId="0" borderId="0" xfId="1" applyNumberFormat="1" applyFont="1" applyFill="1" applyBorder="1" applyAlignment="1" applyProtection="1">
      <alignment vertical="center"/>
      <protection hidden="1"/>
    </xf>
    <xf numFmtId="176" fontId="5" fillId="0" borderId="0" xfId="1" applyNumberFormat="1" applyFont="1" applyFill="1" applyBorder="1" applyAlignment="1" applyProtection="1">
      <alignment horizontal="center" vertical="center"/>
      <protection hidden="1"/>
    </xf>
    <xf numFmtId="0" fontId="5" fillId="0" borderId="0" xfId="1" applyFont="1" applyBorder="1" applyAlignment="1" applyProtection="1">
      <alignment horizontal="right" vertical="center"/>
      <protection hidden="1"/>
    </xf>
    <xf numFmtId="0" fontId="14" fillId="0" borderId="0" xfId="1" applyFont="1" applyAlignment="1" applyProtection="1">
      <alignment horizontal="center" vertical="center"/>
      <protection hidden="1"/>
    </xf>
    <xf numFmtId="0" fontId="10" fillId="0" borderId="0" xfId="1" applyFont="1" applyBorder="1" applyAlignment="1" applyProtection="1">
      <alignment vertical="center"/>
      <protection hidden="1"/>
    </xf>
    <xf numFmtId="0" fontId="10" fillId="0" borderId="0" xfId="1" applyFont="1" applyBorder="1" applyAlignment="1" applyProtection="1">
      <alignment horizontal="right" vertical="center"/>
      <protection hidden="1"/>
    </xf>
    <xf numFmtId="176" fontId="8" fillId="0" borderId="0" xfId="1" applyNumberFormat="1" applyFont="1" applyFill="1" applyBorder="1" applyAlignment="1" applyProtection="1">
      <alignment horizontal="center" vertical="center"/>
      <protection hidden="1"/>
    </xf>
    <xf numFmtId="176" fontId="12" fillId="0" borderId="0" xfId="1" applyNumberFormat="1" applyFont="1" applyFill="1" applyBorder="1" applyAlignment="1" applyProtection="1">
      <alignment horizontal="center" vertical="center"/>
      <protection hidden="1"/>
    </xf>
    <xf numFmtId="0" fontId="14" fillId="0" borderId="0" xfId="1" applyFont="1" applyBorder="1" applyAlignment="1" applyProtection="1">
      <alignment horizontal="right" vertical="center"/>
      <protection hidden="1"/>
    </xf>
    <xf numFmtId="0" fontId="14" fillId="0" borderId="0" xfId="1" applyFont="1" applyFill="1" applyBorder="1" applyAlignment="1" applyProtection="1">
      <alignment horizontal="center" vertical="center"/>
      <protection hidden="1"/>
    </xf>
    <xf numFmtId="176" fontId="14" fillId="0" borderId="0" xfId="1" applyNumberFormat="1" applyFont="1" applyFill="1" applyBorder="1" applyAlignment="1" applyProtection="1">
      <alignment horizontal="center" vertical="center"/>
      <protection hidden="1"/>
    </xf>
    <xf numFmtId="0" fontId="23" fillId="0" borderId="0" xfId="1" applyFont="1" applyAlignment="1" applyProtection="1">
      <alignment horizontal="right" vertical="center"/>
      <protection hidden="1"/>
    </xf>
    <xf numFmtId="0" fontId="10" fillId="0" borderId="0" xfId="1" applyFont="1" applyAlignment="1" applyProtection="1">
      <alignment vertical="center"/>
      <protection hidden="1"/>
    </xf>
    <xf numFmtId="0" fontId="14" fillId="0" borderId="0" xfId="1" applyFont="1" applyBorder="1" applyAlignment="1" applyProtection="1">
      <alignment vertical="center"/>
      <protection hidden="1"/>
    </xf>
    <xf numFmtId="0" fontId="15" fillId="0" borderId="0" xfId="1" applyFont="1" applyBorder="1" applyAlignment="1" applyProtection="1">
      <alignment vertical="center"/>
      <protection hidden="1"/>
    </xf>
    <xf numFmtId="0" fontId="3" fillId="0" borderId="0" xfId="1" applyFont="1" applyFill="1" applyBorder="1" applyAlignment="1" applyProtection="1">
      <alignment horizontal="center" vertical="center"/>
      <protection hidden="1"/>
    </xf>
    <xf numFmtId="0" fontId="5" fillId="0" borderId="0" xfId="1" applyFont="1" applyFill="1" applyBorder="1" applyAlignment="1" applyProtection="1">
      <alignment horizontal="center" vertical="center"/>
      <protection hidden="1"/>
    </xf>
    <xf numFmtId="0" fontId="7" fillId="0" borderId="2" xfId="1" applyFont="1" applyBorder="1" applyAlignment="1" applyProtection="1">
      <alignment vertical="center"/>
      <protection hidden="1"/>
    </xf>
    <xf numFmtId="0" fontId="7" fillId="0" borderId="0" xfId="1" quotePrefix="1" applyFont="1" applyBorder="1" applyAlignment="1" applyProtection="1">
      <alignment horizontal="right" vertical="center"/>
      <protection hidden="1"/>
    </xf>
    <xf numFmtId="0" fontId="7" fillId="0" borderId="0" xfId="1" applyFont="1" applyBorder="1" applyAlignment="1" applyProtection="1">
      <alignment horizontal="right" vertical="center"/>
      <protection hidden="1"/>
    </xf>
    <xf numFmtId="0" fontId="7" fillId="0" borderId="0" xfId="1" applyFont="1" applyBorder="1" applyAlignment="1" applyProtection="1">
      <alignment horizontal="left" vertical="center"/>
      <protection hidden="1"/>
    </xf>
    <xf numFmtId="0" fontId="7" fillId="0" borderId="0" xfId="1" applyFont="1" applyFill="1" applyBorder="1" applyAlignment="1" applyProtection="1">
      <alignment vertical="center"/>
      <protection hidden="1"/>
    </xf>
    <xf numFmtId="178" fontId="5" fillId="0" borderId="0" xfId="1" applyNumberFormat="1" applyFont="1" applyFill="1" applyBorder="1" applyAlignment="1" applyProtection="1">
      <alignment horizontal="center" vertical="center"/>
      <protection hidden="1"/>
    </xf>
    <xf numFmtId="176" fontId="7" fillId="0" borderId="0" xfId="1" applyNumberFormat="1" applyFont="1" applyFill="1" applyBorder="1" applyAlignment="1" applyProtection="1">
      <alignment horizontal="center" vertical="center"/>
      <protection hidden="1"/>
    </xf>
    <xf numFmtId="0" fontId="7" fillId="0" borderId="0" xfId="1" applyFont="1" applyFill="1" applyBorder="1" applyAlignment="1" applyProtection="1">
      <alignment horizontal="right" vertical="center"/>
      <protection hidden="1"/>
    </xf>
    <xf numFmtId="0" fontId="7" fillId="0" borderId="0" xfId="1" applyFont="1" applyFill="1" applyBorder="1" applyAlignment="1" applyProtection="1">
      <alignment horizontal="center" vertical="center"/>
      <protection hidden="1"/>
    </xf>
    <xf numFmtId="0" fontId="7" fillId="0" borderId="0" xfId="1" applyFont="1" applyFill="1" applyBorder="1" applyAlignment="1" applyProtection="1">
      <alignment horizontal="left" vertical="center"/>
      <protection hidden="1"/>
    </xf>
    <xf numFmtId="0" fontId="14" fillId="0" borderId="0" xfId="1" applyFont="1" applyFill="1" applyBorder="1" applyAlignment="1" applyProtection="1">
      <alignment horizontal="left" vertical="center"/>
      <protection hidden="1"/>
    </xf>
    <xf numFmtId="0" fontId="12" fillId="0" borderId="0" xfId="1" applyFont="1" applyBorder="1" applyAlignment="1" applyProtection="1">
      <alignment vertical="center"/>
      <protection hidden="1"/>
    </xf>
    <xf numFmtId="0" fontId="12" fillId="0" borderId="0" xfId="1" applyFont="1" applyFill="1" applyBorder="1" applyAlignment="1" applyProtection="1">
      <alignment vertical="center"/>
      <protection hidden="1"/>
    </xf>
    <xf numFmtId="0" fontId="25" fillId="0" borderId="0" xfId="1" applyFont="1" applyBorder="1" applyAlignment="1" applyProtection="1">
      <alignment vertical="center"/>
      <protection hidden="1"/>
    </xf>
    <xf numFmtId="0" fontId="10" fillId="0" borderId="0" xfId="1" applyFont="1" applyAlignment="1" applyProtection="1">
      <alignment horizontal="right" vertical="center"/>
      <protection hidden="1"/>
    </xf>
    <xf numFmtId="0" fontId="7" fillId="0" borderId="0" xfId="1" applyFont="1" applyBorder="1" applyAlignment="1" applyProtection="1">
      <alignment horizontal="center" vertical="center"/>
      <protection hidden="1"/>
    </xf>
    <xf numFmtId="0" fontId="13" fillId="0" borderId="0" xfId="1" applyFont="1" applyFill="1" applyBorder="1" applyAlignment="1" applyProtection="1">
      <alignment horizontal="left" vertical="center"/>
      <protection hidden="1"/>
    </xf>
    <xf numFmtId="0" fontId="7" fillId="0" borderId="0" xfId="1" applyFont="1" applyBorder="1" applyAlignment="1" applyProtection="1">
      <alignment horizontal="left" vertical="center"/>
      <protection hidden="1"/>
    </xf>
    <xf numFmtId="0" fontId="7" fillId="0" borderId="0" xfId="1" applyFont="1" applyBorder="1" applyAlignment="1" applyProtection="1">
      <alignment horizontal="right" vertical="center"/>
      <protection hidden="1"/>
    </xf>
    <xf numFmtId="0" fontId="12" fillId="0" borderId="0" xfId="1" applyFont="1" applyBorder="1" applyAlignment="1" applyProtection="1">
      <alignment horizontal="center" vertical="center"/>
      <protection hidden="1"/>
    </xf>
    <xf numFmtId="0" fontId="20" fillId="0" borderId="0" xfId="1" applyFont="1" applyBorder="1" applyAlignment="1" applyProtection="1">
      <alignment horizontal="right" vertical="center"/>
      <protection hidden="1"/>
    </xf>
    <xf numFmtId="0" fontId="5" fillId="0" borderId="0" xfId="1" applyFont="1" applyBorder="1" applyAlignment="1" applyProtection="1">
      <alignment horizontal="left" vertical="center"/>
      <protection hidden="1"/>
    </xf>
    <xf numFmtId="0" fontId="10" fillId="2" borderId="3" xfId="1" applyFont="1" applyFill="1" applyBorder="1" applyAlignment="1" applyProtection="1">
      <alignment vertical="center"/>
      <protection locked="0"/>
    </xf>
    <xf numFmtId="0" fontId="10" fillId="2" borderId="4" xfId="1" applyFont="1" applyFill="1" applyBorder="1" applyAlignment="1" applyProtection="1">
      <alignment vertical="center"/>
      <protection locked="0"/>
    </xf>
    <xf numFmtId="0" fontId="7" fillId="2" borderId="4" xfId="1" applyFont="1" applyFill="1" applyBorder="1" applyAlignment="1" applyProtection="1">
      <alignment vertical="center"/>
      <protection locked="0"/>
    </xf>
    <xf numFmtId="0" fontId="5" fillId="2" borderId="5" xfId="1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center" vertical="center"/>
      <protection locked="0"/>
    </xf>
    <xf numFmtId="0" fontId="8" fillId="0" borderId="0" xfId="1" applyFont="1" applyBorder="1" applyAlignment="1" applyProtection="1">
      <alignment vertical="center"/>
      <protection locked="0"/>
    </xf>
    <xf numFmtId="0" fontId="10" fillId="0" borderId="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14" fillId="0" borderId="0" xfId="1" applyFont="1" applyBorder="1" applyAlignment="1" applyProtection="1">
      <alignment horizontal="left" vertical="center"/>
      <protection locked="0"/>
    </xf>
    <xf numFmtId="0" fontId="14" fillId="0" borderId="0" xfId="1" applyFont="1" applyFill="1" applyBorder="1" applyAlignment="1" applyProtection="1">
      <alignment horizontal="left" vertical="center"/>
      <protection locked="0"/>
    </xf>
    <xf numFmtId="0" fontId="18" fillId="0" borderId="0" xfId="0" applyFont="1" applyBorder="1" applyAlignment="1" applyProtection="1">
      <alignment horizontal="left" vertical="center" indent="1"/>
      <protection locked="0"/>
    </xf>
    <xf numFmtId="0" fontId="7" fillId="0" borderId="0" xfId="1" applyFont="1" applyAlignment="1" applyProtection="1">
      <alignment vertical="center"/>
      <protection locked="0"/>
    </xf>
    <xf numFmtId="0" fontId="5" fillId="0" borderId="0" xfId="1" applyFont="1" applyBorder="1" applyAlignment="1" applyProtection="1">
      <alignment vertical="center"/>
      <protection locked="0"/>
    </xf>
    <xf numFmtId="178" fontId="5" fillId="0" borderId="0" xfId="1" applyNumberFormat="1" applyFont="1" applyFill="1" applyBorder="1" applyAlignment="1" applyProtection="1">
      <alignment vertical="center"/>
      <protection locked="0"/>
    </xf>
    <xf numFmtId="0" fontId="3" fillId="0" borderId="0" xfId="1" applyFont="1" applyBorder="1" applyAlignment="1" applyProtection="1">
      <alignment vertical="center"/>
      <protection locked="0"/>
    </xf>
    <xf numFmtId="0" fontId="5" fillId="0" borderId="0" xfId="1" applyFont="1" applyBorder="1" applyAlignment="1" applyProtection="1">
      <alignment horizontal="left" vertical="center"/>
      <protection locked="0"/>
    </xf>
    <xf numFmtId="0" fontId="3" fillId="0" borderId="0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vertical="center"/>
    </xf>
    <xf numFmtId="0" fontId="14" fillId="0" borderId="6" xfId="1" applyFont="1" applyBorder="1" applyAlignment="1" applyProtection="1">
      <alignment vertical="center"/>
    </xf>
    <xf numFmtId="0" fontId="8" fillId="0" borderId="0" xfId="1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0" fillId="0" borderId="0" xfId="1" applyFont="1" applyBorder="1" applyAlignment="1" applyProtection="1">
      <alignment vertical="center"/>
    </xf>
    <xf numFmtId="0" fontId="7" fillId="0" borderId="0" xfId="1" applyFont="1" applyBorder="1" applyAlignment="1" applyProtection="1">
      <alignment vertical="center"/>
    </xf>
    <xf numFmtId="0" fontId="7" fillId="2" borderId="4" xfId="1" applyFont="1" applyFill="1" applyBorder="1" applyAlignment="1" applyProtection="1">
      <alignment vertical="center"/>
    </xf>
    <xf numFmtId="0" fontId="7" fillId="0" borderId="0" xfId="1" applyFont="1" applyBorder="1" applyAlignment="1" applyProtection="1">
      <alignment horizontal="center" vertical="center"/>
      <protection hidden="1"/>
    </xf>
    <xf numFmtId="0" fontId="7" fillId="0" borderId="0" xfId="1" applyFont="1" applyBorder="1" applyAlignment="1" applyProtection="1">
      <alignment horizontal="left" vertical="center"/>
      <protection hidden="1"/>
    </xf>
    <xf numFmtId="0" fontId="12" fillId="0" borderId="0" xfId="1" applyFont="1" applyBorder="1" applyAlignment="1" applyProtection="1">
      <alignment horizontal="left" vertical="center"/>
      <protection hidden="1"/>
    </xf>
    <xf numFmtId="0" fontId="12" fillId="0" borderId="0" xfId="1" applyFont="1" applyBorder="1" applyAlignment="1" applyProtection="1">
      <alignment horizontal="right" vertical="center"/>
      <protection hidden="1"/>
    </xf>
    <xf numFmtId="0" fontId="10" fillId="0" borderId="0" xfId="1" applyFont="1" applyFill="1" applyAlignment="1" applyProtection="1">
      <alignment horizontal="center" vertical="center"/>
      <protection hidden="1"/>
    </xf>
    <xf numFmtId="0" fontId="8" fillId="0" borderId="0" xfId="1" applyFont="1" applyFill="1" applyBorder="1" applyAlignment="1" applyProtection="1">
      <alignment horizontal="center" vertical="center"/>
      <protection hidden="1"/>
    </xf>
    <xf numFmtId="0" fontId="8" fillId="0" borderId="0" xfId="1" quotePrefix="1" applyFont="1" applyFill="1" applyBorder="1" applyAlignment="1" applyProtection="1">
      <alignment horizontal="center" vertical="center"/>
      <protection hidden="1"/>
    </xf>
    <xf numFmtId="0" fontId="10" fillId="0" borderId="0" xfId="1" applyFont="1" applyFill="1" applyBorder="1" applyAlignment="1" applyProtection="1">
      <alignment horizontal="center" vertical="center"/>
      <protection hidden="1"/>
    </xf>
    <xf numFmtId="0" fontId="12" fillId="0" borderId="0" xfId="1" applyFont="1" applyFill="1" applyBorder="1" applyAlignment="1" applyProtection="1">
      <alignment horizontal="center" vertical="center"/>
      <protection hidden="1"/>
    </xf>
    <xf numFmtId="0" fontId="12" fillId="0" borderId="0" xfId="1" quotePrefix="1" applyFont="1" applyFill="1" applyBorder="1" applyAlignment="1" applyProtection="1">
      <alignment horizontal="center" vertical="center"/>
      <protection hidden="1"/>
    </xf>
    <xf numFmtId="0" fontId="20" fillId="0" borderId="0" xfId="1" applyFont="1" applyFill="1" applyAlignment="1" applyProtection="1">
      <alignment horizontal="center" vertical="center"/>
      <protection hidden="1"/>
    </xf>
    <xf numFmtId="0" fontId="20" fillId="0" borderId="0" xfId="1" applyFont="1" applyFill="1" applyBorder="1" applyAlignment="1" applyProtection="1">
      <alignment horizontal="center" vertical="center"/>
      <protection hidden="1"/>
    </xf>
    <xf numFmtId="0" fontId="14" fillId="0" borderId="0" xfId="1" quotePrefix="1" applyFont="1" applyFill="1" applyBorder="1" applyAlignment="1" applyProtection="1">
      <alignment horizontal="center" vertical="center"/>
      <protection hidden="1"/>
    </xf>
    <xf numFmtId="0" fontId="14" fillId="0" borderId="0" xfId="1" applyFont="1" applyFill="1" applyAlignment="1" applyProtection="1">
      <alignment horizontal="center" vertical="center"/>
      <protection hidden="1"/>
    </xf>
    <xf numFmtId="0" fontId="23" fillId="0" borderId="0" xfId="1" applyFont="1" applyFill="1" applyAlignment="1" applyProtection="1">
      <alignment horizontal="center" vertical="center"/>
      <protection hidden="1"/>
    </xf>
    <xf numFmtId="0" fontId="28" fillId="0" borderId="0" xfId="1" applyFont="1" applyBorder="1" applyAlignment="1" applyProtection="1">
      <alignment vertical="center"/>
      <protection hidden="1"/>
    </xf>
    <xf numFmtId="0" fontId="16" fillId="0" borderId="0" xfId="1" applyFont="1" applyBorder="1" applyAlignment="1" applyProtection="1">
      <alignment horizontal="left" vertical="top" wrapText="1"/>
      <protection hidden="1"/>
    </xf>
    <xf numFmtId="0" fontId="16" fillId="0" borderId="0" xfId="1" applyFont="1" applyBorder="1" applyAlignment="1" applyProtection="1">
      <alignment horizontal="left" vertical="top"/>
      <protection hidden="1"/>
    </xf>
    <xf numFmtId="0" fontId="7" fillId="0" borderId="2" xfId="1" applyFont="1" applyBorder="1" applyAlignment="1" applyProtection="1">
      <alignment horizontal="center" vertical="center"/>
      <protection hidden="1"/>
    </xf>
    <xf numFmtId="0" fontId="7" fillId="0" borderId="0" xfId="1" applyFont="1" applyBorder="1" applyAlignment="1" applyProtection="1">
      <alignment horizontal="center" vertical="center"/>
      <protection hidden="1"/>
    </xf>
    <xf numFmtId="177" fontId="7" fillId="2" borderId="1" xfId="1" quotePrefix="1" applyNumberFormat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hidden="1"/>
    </xf>
    <xf numFmtId="0" fontId="3" fillId="2" borderId="4" xfId="1" applyFont="1" applyFill="1" applyBorder="1" applyAlignment="1" applyProtection="1">
      <alignment horizontal="center" vertical="center"/>
      <protection hidden="1"/>
    </xf>
    <xf numFmtId="0" fontId="3" fillId="2" borderId="5" xfId="1" applyFont="1" applyFill="1" applyBorder="1" applyAlignment="1" applyProtection="1">
      <alignment horizontal="center" vertical="center"/>
      <protection hidden="1"/>
    </xf>
    <xf numFmtId="0" fontId="7" fillId="0" borderId="4" xfId="1" applyFont="1" applyBorder="1" applyAlignment="1" applyProtection="1">
      <alignment horizontal="left" vertical="center"/>
      <protection hidden="1"/>
    </xf>
    <xf numFmtId="0" fontId="13" fillId="0" borderId="0" xfId="1" applyFont="1" applyFill="1" applyBorder="1" applyAlignment="1" applyProtection="1">
      <alignment horizontal="left" vertical="center"/>
      <protection hidden="1"/>
    </xf>
    <xf numFmtId="0" fontId="7" fillId="0" borderId="2" xfId="1" applyFont="1" applyBorder="1" applyAlignment="1" applyProtection="1">
      <alignment horizontal="left" vertical="center"/>
      <protection hidden="1"/>
    </xf>
    <xf numFmtId="0" fontId="14" fillId="0" borderId="0" xfId="1" applyFont="1" applyBorder="1" applyAlignment="1" applyProtection="1">
      <alignment horizontal="left" vertical="center"/>
      <protection hidden="1"/>
    </xf>
    <xf numFmtId="0" fontId="12" fillId="0" borderId="0" xfId="1" applyFont="1" applyFill="1" applyBorder="1" applyAlignment="1" applyProtection="1">
      <alignment horizontal="right" vertical="center"/>
      <protection hidden="1"/>
    </xf>
    <xf numFmtId="0" fontId="12" fillId="0" borderId="0" xfId="1" applyFont="1" applyFill="1" applyBorder="1" applyAlignment="1" applyProtection="1">
      <alignment horizontal="left" vertical="center"/>
      <protection hidden="1"/>
    </xf>
    <xf numFmtId="0" fontId="7" fillId="0" borderId="0" xfId="1" applyFont="1" applyBorder="1" applyAlignment="1" applyProtection="1">
      <alignment horizontal="left" vertical="center"/>
      <protection hidden="1"/>
    </xf>
    <xf numFmtId="176" fontId="12" fillId="0" borderId="1" xfId="1" quotePrefix="1" applyNumberFormat="1" applyFont="1" applyBorder="1" applyAlignment="1" applyProtection="1">
      <alignment horizontal="center" vertical="center"/>
      <protection hidden="1"/>
    </xf>
    <xf numFmtId="0" fontId="7" fillId="0" borderId="0" xfId="1" applyFont="1" applyBorder="1" applyAlignment="1" applyProtection="1">
      <alignment horizontal="right" vertical="center"/>
      <protection hidden="1"/>
    </xf>
    <xf numFmtId="177" fontId="7" fillId="2" borderId="1" xfId="1" applyNumberFormat="1" applyFont="1" applyFill="1" applyBorder="1" applyAlignment="1" applyProtection="1">
      <alignment horizontal="center" vertical="center"/>
      <protection locked="0"/>
    </xf>
    <xf numFmtId="179" fontId="7" fillId="2" borderId="1" xfId="1" applyNumberFormat="1" applyFont="1" applyFill="1" applyBorder="1" applyAlignment="1" applyProtection="1">
      <alignment horizontal="center" vertical="center"/>
      <protection locked="0"/>
    </xf>
    <xf numFmtId="176" fontId="12" fillId="0" borderId="1" xfId="1" applyNumberFormat="1" applyFont="1" applyFill="1" applyBorder="1" applyAlignment="1" applyProtection="1">
      <alignment horizontal="center" vertical="center"/>
      <protection hidden="1"/>
    </xf>
    <xf numFmtId="0" fontId="19" fillId="0" borderId="0" xfId="1" applyFont="1" applyBorder="1" applyAlignment="1" applyProtection="1">
      <alignment horizontal="left" vertical="center"/>
      <protection hidden="1"/>
    </xf>
    <xf numFmtId="0" fontId="21" fillId="0" borderId="0" xfId="1" applyFont="1" applyBorder="1" applyAlignment="1" applyProtection="1">
      <alignment horizontal="center" vertical="center"/>
      <protection hidden="1"/>
    </xf>
    <xf numFmtId="0" fontId="12" fillId="0" borderId="0" xfId="1" applyFont="1" applyBorder="1" applyAlignment="1" applyProtection="1">
      <alignment horizontal="center" vertical="center"/>
      <protection hidden="1"/>
    </xf>
    <xf numFmtId="0" fontId="20" fillId="0" borderId="0" xfId="1" applyFont="1" applyBorder="1" applyAlignment="1" applyProtection="1">
      <alignment horizontal="right" vertical="center"/>
      <protection hidden="1"/>
    </xf>
    <xf numFmtId="0" fontId="20" fillId="0" borderId="0" xfId="1" applyFont="1" applyBorder="1" applyAlignment="1" applyProtection="1">
      <alignment horizontal="left" vertical="center"/>
      <protection hidden="1"/>
    </xf>
    <xf numFmtId="0" fontId="20" fillId="0" borderId="0" xfId="1" applyFont="1" applyFill="1" applyBorder="1" applyAlignment="1" applyProtection="1">
      <alignment horizontal="left" vertical="center"/>
      <protection hidden="1"/>
    </xf>
    <xf numFmtId="0" fontId="20" fillId="0" borderId="0" xfId="1" applyFont="1" applyFill="1" applyBorder="1" applyAlignment="1" applyProtection="1">
      <alignment horizontal="right" vertical="center"/>
      <protection hidden="1"/>
    </xf>
    <xf numFmtId="0" fontId="5" fillId="0" borderId="0" xfId="1" applyFont="1" applyBorder="1" applyAlignment="1" applyProtection="1">
      <alignment horizontal="left" vertical="center"/>
      <protection hidden="1"/>
    </xf>
    <xf numFmtId="0" fontId="27" fillId="0" borderId="0" xfId="3" applyFont="1" applyBorder="1" applyAlignment="1" applyProtection="1">
      <alignment horizontal="center" vertical="center"/>
      <protection locked="0"/>
    </xf>
    <xf numFmtId="0" fontId="26" fillId="0" borderId="0" xfId="1" applyFont="1" applyBorder="1" applyAlignment="1" applyProtection="1">
      <alignment horizontal="center" vertical="center"/>
      <protection locked="0"/>
    </xf>
    <xf numFmtId="0" fontId="12" fillId="0" borderId="0" xfId="1" applyFont="1" applyBorder="1" applyAlignment="1" applyProtection="1">
      <alignment horizontal="left" vertical="center"/>
      <protection hidden="1"/>
    </xf>
    <xf numFmtId="0" fontId="12" fillId="0" borderId="0" xfId="1" applyFont="1" applyBorder="1" applyAlignment="1" applyProtection="1">
      <alignment horizontal="right" vertical="center"/>
      <protection hidden="1"/>
    </xf>
  </cellXfs>
  <cellStyles count="4">
    <cellStyle name="쉼표 [0] 2" xfId="2"/>
    <cellStyle name="표준" xfId="0" builtinId="0"/>
    <cellStyle name="표준 2" xfId="1"/>
    <cellStyle name="하이퍼링크" xfId="3" builtinId="8"/>
  </cellStyles>
  <dxfs count="0"/>
  <tableStyles count="0" defaultTableStyle="TableStyleMedium9" defaultPivotStyle="PivotStyleLight16"/>
  <colors>
    <mruColors>
      <color rgb="FF00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fmlaLink="$AE$5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Drop" dropStyle="combo" dx="16" fmlaLink="$AE$17" fmlaRange="$AH$4:$AH$11" sel="1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171155</xdr:colOff>
      <xdr:row>25</xdr:row>
      <xdr:rowOff>190500</xdr:rowOff>
    </xdr:from>
    <xdr:to>
      <xdr:col>27</xdr:col>
      <xdr:colOff>12746</xdr:colOff>
      <xdr:row>30</xdr:row>
      <xdr:rowOff>66675</xdr:rowOff>
    </xdr:to>
    <xdr:pic>
      <xdr:nvPicPr>
        <xdr:cNvPr id="2" name="그림 1" descr="char-1.gif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85905" y="5153025"/>
          <a:ext cx="1117941" cy="101917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21</xdr:col>
          <xdr:colOff>38100</xdr:colOff>
          <xdr:row>4</xdr:row>
          <xdr:rowOff>9525</xdr:rowOff>
        </xdr:from>
        <xdr:to>
          <xdr:col>23</xdr:col>
          <xdr:colOff>76200</xdr:colOff>
          <xdr:row>4</xdr:row>
          <xdr:rowOff>219075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KW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23</xdr:col>
          <xdr:colOff>133350</xdr:colOff>
          <xdr:row>4</xdr:row>
          <xdr:rowOff>19050</xdr:rowOff>
        </xdr:from>
        <xdr:to>
          <xdr:col>26</xdr:col>
          <xdr:colOff>0</xdr:colOff>
          <xdr:row>5</xdr:row>
          <xdr:rowOff>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HP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16</xdr:row>
          <xdr:rowOff>19050</xdr:rowOff>
        </xdr:from>
        <xdr:to>
          <xdr:col>15</xdr:col>
          <xdr:colOff>114300</xdr:colOff>
          <xdr:row>16</xdr:row>
          <xdr:rowOff>209550</xdr:rowOff>
        </xdr:to>
        <xdr:sp macro="" textlink="">
          <xdr:nvSpPr>
            <xdr:cNvPr id="1031" name="Drop Down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133351</xdr:colOff>
      <xdr:row>0</xdr:row>
      <xdr:rowOff>438151</xdr:rowOff>
    </xdr:from>
    <xdr:to>
      <xdr:col>8</xdr:col>
      <xdr:colOff>136167</xdr:colOff>
      <xdr:row>1</xdr:row>
      <xdr:rowOff>304801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1" y="438151"/>
          <a:ext cx="1317266" cy="304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jacoup.co.kr/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34"/>
  <sheetViews>
    <sheetView showGridLines="0" tabSelected="1" zoomScaleNormal="100" workbookViewId="0">
      <selection activeCell="V7" sqref="V7:Z7"/>
    </sheetView>
  </sheetViews>
  <sheetFormatPr defaultRowHeight="13.5" x14ac:dyDescent="0.3"/>
  <cols>
    <col min="1" max="2" width="3" style="2" customWidth="1"/>
    <col min="3" max="21" width="2.375" style="2" customWidth="1"/>
    <col min="22" max="22" width="2.5" style="2" customWidth="1"/>
    <col min="23" max="29" width="2.375" style="2" customWidth="1"/>
    <col min="30" max="30" width="4.5" style="2" customWidth="1"/>
    <col min="31" max="45" width="20.625" style="2" hidden="1" customWidth="1"/>
    <col min="46" max="46" width="20.625" style="2" customWidth="1"/>
    <col min="47" max="47" width="20.75" style="2" customWidth="1"/>
    <col min="48" max="48" width="12.75" style="2" customWidth="1"/>
    <col min="49" max="16384" width="9" style="2"/>
  </cols>
  <sheetData>
    <row r="1" spans="1:46" ht="14.2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46" ht="43.5" customHeight="1" x14ac:dyDescent="0.3">
      <c r="A2" s="1"/>
      <c r="B2" s="1"/>
      <c r="C2" s="1"/>
      <c r="D2" s="1"/>
      <c r="E2" s="1"/>
      <c r="F2" s="1"/>
      <c r="G2" s="1"/>
      <c r="H2" s="1"/>
      <c r="I2" s="1"/>
      <c r="J2" s="96" t="s">
        <v>68</v>
      </c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1"/>
      <c r="AC2" s="1"/>
      <c r="AD2" s="1"/>
      <c r="AG2" s="1"/>
      <c r="AH2" s="1"/>
      <c r="AI2" s="1"/>
      <c r="AJ2" s="1"/>
      <c r="AK2" s="1"/>
      <c r="AL2" s="1"/>
      <c r="AM2" s="1"/>
      <c r="AN2" s="1"/>
      <c r="AO2" s="1"/>
      <c r="AP2" s="1"/>
    </row>
    <row r="3" spans="1:46" ht="18.75" customHeight="1" x14ac:dyDescent="0.3">
      <c r="A3" s="1"/>
      <c r="B3" s="31"/>
      <c r="C3" s="31"/>
      <c r="D3" s="101" t="s">
        <v>44</v>
      </c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3"/>
      <c r="AA3" s="8"/>
      <c r="AB3" s="8"/>
      <c r="AC3" s="8"/>
      <c r="AD3" s="8"/>
      <c r="AG3" s="1"/>
      <c r="AH3" s="3" t="s">
        <v>16</v>
      </c>
    </row>
    <row r="4" spans="1:46" ht="6.75" customHeight="1" x14ac:dyDescent="0.3">
      <c r="A4" s="1"/>
      <c r="B4" s="31"/>
      <c r="C4" s="31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72"/>
      <c r="V4" s="72"/>
      <c r="W4" s="72"/>
      <c r="X4" s="72"/>
      <c r="Y4" s="72"/>
      <c r="Z4" s="72"/>
      <c r="AA4" s="73"/>
      <c r="AB4" s="8"/>
      <c r="AC4" s="8"/>
      <c r="AD4" s="1"/>
      <c r="AE4" s="30">
        <v>1</v>
      </c>
      <c r="AF4" s="1"/>
      <c r="AH4" s="66" t="s">
        <v>17</v>
      </c>
      <c r="AI4" s="63"/>
      <c r="AJ4" s="67"/>
    </row>
    <row r="5" spans="1:46" ht="18" customHeight="1" x14ac:dyDescent="0.3">
      <c r="A5" s="1"/>
      <c r="B5" s="1"/>
      <c r="C5" s="107" t="s">
        <v>65</v>
      </c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74"/>
      <c r="V5" s="56"/>
      <c r="W5" s="57"/>
      <c r="X5" s="79"/>
      <c r="Y5" s="58"/>
      <c r="Z5" s="59" t="s">
        <v>8</v>
      </c>
      <c r="AA5" s="60"/>
      <c r="AB5" s="60"/>
      <c r="AC5" s="33"/>
      <c r="AD5" s="33" t="s">
        <v>8</v>
      </c>
      <c r="AE5" s="62">
        <v>1</v>
      </c>
      <c r="AF5" s="33"/>
      <c r="AH5" s="66" t="s">
        <v>18</v>
      </c>
      <c r="AI5" s="63"/>
      <c r="AJ5" s="61"/>
      <c r="AK5" s="6"/>
      <c r="AL5" s="5"/>
      <c r="AM5" s="5"/>
      <c r="AN5" s="7"/>
      <c r="AP5" s="8"/>
      <c r="AQ5" s="1"/>
      <c r="AR5" s="1"/>
    </row>
    <row r="6" spans="1:46" ht="6" customHeight="1" x14ac:dyDescent="0.3">
      <c r="A6" s="1"/>
      <c r="B6" s="1"/>
      <c r="C6" s="1"/>
      <c r="D6" s="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5"/>
      <c r="U6" s="75"/>
      <c r="V6" s="75"/>
      <c r="W6" s="76"/>
      <c r="X6" s="76"/>
      <c r="Y6" s="77"/>
      <c r="Z6" s="77"/>
      <c r="AA6" s="78"/>
      <c r="AB6" s="1"/>
      <c r="AC6" s="9"/>
      <c r="AD6" s="9"/>
      <c r="AE6" s="1"/>
      <c r="AF6" s="1"/>
      <c r="AG6" s="9"/>
      <c r="AH6" s="66" t="s">
        <v>19</v>
      </c>
      <c r="AI6" s="68"/>
      <c r="AJ6" s="68"/>
      <c r="AM6" s="10"/>
      <c r="AN6" s="11"/>
      <c r="AO6" s="12"/>
      <c r="AP6" s="12"/>
      <c r="AQ6" s="12"/>
      <c r="AR6" s="12"/>
      <c r="AS6" s="1"/>
    </row>
    <row r="7" spans="1:46" ht="18" customHeight="1" x14ac:dyDescent="0.3">
      <c r="A7" s="1"/>
      <c r="B7" s="1"/>
      <c r="C7" s="106" t="s">
        <v>57</v>
      </c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34"/>
      <c r="P7" s="34"/>
      <c r="Q7" s="34"/>
      <c r="R7" s="34"/>
      <c r="S7" s="9"/>
      <c r="T7" s="112" t="s">
        <v>42</v>
      </c>
      <c r="U7" s="112"/>
      <c r="V7" s="114"/>
      <c r="W7" s="114"/>
      <c r="X7" s="114"/>
      <c r="Y7" s="114"/>
      <c r="Z7" s="114"/>
      <c r="AA7" s="110" t="str">
        <f>IF(AE5=1,"KW","HP")</f>
        <v>KW</v>
      </c>
      <c r="AB7" s="110"/>
      <c r="AC7" s="9"/>
      <c r="AD7" s="9"/>
      <c r="AE7" s="1"/>
      <c r="AF7" s="1" t="s">
        <v>12</v>
      </c>
      <c r="AG7" s="9"/>
      <c r="AH7" s="66" t="s">
        <v>20</v>
      </c>
      <c r="AI7" s="68"/>
      <c r="AJ7" s="68"/>
      <c r="AM7" s="10"/>
      <c r="AN7" s="11"/>
      <c r="AO7" s="12"/>
      <c r="AP7" s="12"/>
      <c r="AQ7" s="12"/>
      <c r="AR7" s="12"/>
      <c r="AS7" s="1"/>
    </row>
    <row r="8" spans="1:46" ht="18" customHeight="1" x14ac:dyDescent="0.3">
      <c r="A8" s="1"/>
      <c r="B8" s="1"/>
      <c r="C8" s="104" t="s">
        <v>58</v>
      </c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9"/>
      <c r="T8" s="112" t="s">
        <v>10</v>
      </c>
      <c r="U8" s="112"/>
      <c r="V8" s="113"/>
      <c r="W8" s="113"/>
      <c r="X8" s="113"/>
      <c r="Y8" s="113"/>
      <c r="Z8" s="113"/>
      <c r="AA8" s="110" t="s">
        <v>0</v>
      </c>
      <c r="AB8" s="110"/>
      <c r="AC8" s="9"/>
      <c r="AD8" s="9"/>
      <c r="AE8" s="9"/>
      <c r="AF8" s="9"/>
      <c r="AG8" s="9"/>
      <c r="AH8" s="66" t="s">
        <v>21</v>
      </c>
      <c r="AI8" s="68"/>
      <c r="AJ8" s="68"/>
      <c r="AM8" s="10"/>
      <c r="AN8" s="8"/>
      <c r="AO8" s="9"/>
      <c r="AP8" s="9"/>
      <c r="AQ8" s="9"/>
      <c r="AR8" s="9"/>
      <c r="AS8" s="1"/>
    </row>
    <row r="9" spans="1:46" ht="18" customHeight="1" x14ac:dyDescent="0.3">
      <c r="A9" s="1"/>
      <c r="B9" s="1"/>
      <c r="C9" s="104" t="s">
        <v>59</v>
      </c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9"/>
      <c r="T9" s="112" t="s">
        <v>1</v>
      </c>
      <c r="U9" s="112"/>
      <c r="V9" s="113"/>
      <c r="W9" s="113"/>
      <c r="X9" s="113"/>
      <c r="Y9" s="113"/>
      <c r="Z9" s="113"/>
      <c r="AA9" s="1"/>
      <c r="AB9" s="1"/>
      <c r="AC9" s="9"/>
      <c r="AD9" s="9"/>
      <c r="AE9" s="9"/>
      <c r="AF9" s="9"/>
      <c r="AG9" s="9"/>
      <c r="AH9" s="66" t="s">
        <v>22</v>
      </c>
      <c r="AI9" s="63"/>
      <c r="AJ9" s="69"/>
      <c r="AK9" s="8"/>
      <c r="AL9" s="9"/>
      <c r="AM9" s="9"/>
      <c r="AN9" s="9"/>
      <c r="AO9" s="9"/>
      <c r="AP9" s="1"/>
      <c r="AQ9" s="1"/>
    </row>
    <row r="10" spans="1:46" ht="18" customHeight="1" x14ac:dyDescent="0.3">
      <c r="A10" s="1"/>
      <c r="B10" s="1"/>
      <c r="C10" s="104" t="s">
        <v>60</v>
      </c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5"/>
      <c r="T10" s="35"/>
      <c r="U10" s="52" t="s">
        <v>41</v>
      </c>
      <c r="V10" s="100"/>
      <c r="W10" s="100"/>
      <c r="X10" s="100"/>
      <c r="Y10" s="100"/>
      <c r="Z10" s="100"/>
      <c r="AA10" s="51" t="s">
        <v>7</v>
      </c>
      <c r="AB10" s="51"/>
      <c r="AC10" s="9"/>
      <c r="AD10" s="9"/>
      <c r="AE10" s="9"/>
      <c r="AF10" s="9"/>
      <c r="AG10" s="9"/>
      <c r="AH10" s="66" t="s">
        <v>23</v>
      </c>
      <c r="AI10" s="68"/>
      <c r="AJ10" s="70"/>
      <c r="AK10" s="13"/>
      <c r="AL10" s="9"/>
      <c r="AM10" s="12"/>
      <c r="AN10" s="12"/>
      <c r="AO10" s="12"/>
      <c r="AP10" s="9" t="s">
        <v>3</v>
      </c>
      <c r="AQ10" s="12"/>
      <c r="AR10" s="12"/>
      <c r="AS10" s="1"/>
    </row>
    <row r="11" spans="1:46" ht="9" customHeight="1" x14ac:dyDescent="0.3">
      <c r="A11" s="1"/>
      <c r="B11" s="1"/>
      <c r="C11" s="38" t="s">
        <v>4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52"/>
      <c r="R11" s="52"/>
      <c r="S11" s="39"/>
      <c r="T11" s="39"/>
      <c r="U11" s="39"/>
      <c r="V11" s="39"/>
      <c r="W11" s="39"/>
      <c r="X11" s="9"/>
      <c r="Y11" s="9"/>
      <c r="Z11" s="9"/>
      <c r="AA11" s="9"/>
      <c r="AB11" s="9"/>
      <c r="AC11" s="8"/>
      <c r="AD11" s="9"/>
      <c r="AE11" s="9"/>
      <c r="AF11" s="9"/>
      <c r="AG11" s="9"/>
      <c r="AH11" s="66" t="s">
        <v>24</v>
      </c>
      <c r="AI11" s="68"/>
      <c r="AJ11" s="71"/>
      <c r="AK11" s="14"/>
      <c r="AL11" s="15"/>
      <c r="AM11" s="16"/>
      <c r="AN11" s="15" t="s">
        <v>4</v>
      </c>
      <c r="AO11" s="17" t="s">
        <v>3</v>
      </c>
      <c r="AP11" s="18"/>
      <c r="AQ11" s="18"/>
      <c r="AR11" s="18"/>
      <c r="AS11" s="1"/>
    </row>
    <row r="12" spans="1:46" ht="18" customHeight="1" x14ac:dyDescent="0.3">
      <c r="A12" s="1"/>
      <c r="B12" s="38" t="s">
        <v>4</v>
      </c>
      <c r="C12" s="105" t="s">
        <v>11</v>
      </c>
      <c r="D12" s="105"/>
      <c r="E12" s="105"/>
      <c r="F12" s="105"/>
      <c r="G12" s="105"/>
      <c r="H12" s="105"/>
      <c r="I12" s="99" t="s">
        <v>2</v>
      </c>
      <c r="J12" s="99"/>
      <c r="K12" s="98" t="str">
        <f>IF(AE5=1,"974 x KW x SF","716 x HP x SF")</f>
        <v>974 x KW x SF</v>
      </c>
      <c r="L12" s="98"/>
      <c r="M12" s="98"/>
      <c r="N12" s="98"/>
      <c r="O12" s="98"/>
      <c r="P12" s="49"/>
      <c r="Q12" s="8"/>
      <c r="R12" s="8"/>
      <c r="S12" s="8"/>
      <c r="T12" s="38" t="s">
        <v>3</v>
      </c>
      <c r="U12" s="38" t="s">
        <v>43</v>
      </c>
      <c r="V12" s="115" t="str">
        <f>IF(ISERROR(IF(AA7="KW",(((974000*V7*V9)/V8)/1000),(((716000*V7*V9)/V8)/1000))),"",IF(AA7="KW",(((974000*V7*V9)/V8)/1000),(((716000*V7*V9)/V8)/1000)))</f>
        <v/>
      </c>
      <c r="W12" s="115"/>
      <c r="X12" s="115"/>
      <c r="Y12" s="115"/>
      <c r="Z12" s="115"/>
      <c r="AA12" s="38" t="s">
        <v>9</v>
      </c>
      <c r="AB12" s="40"/>
      <c r="AC12" s="9"/>
      <c r="AD12" s="9"/>
      <c r="AE12" s="9"/>
      <c r="AF12" s="9" t="s">
        <v>13</v>
      </c>
      <c r="AG12" s="9"/>
      <c r="AH12" s="4"/>
      <c r="AI12" s="9"/>
      <c r="AJ12" s="55"/>
      <c r="AK12" s="14"/>
      <c r="AL12" s="15"/>
      <c r="AM12" s="16"/>
      <c r="AN12" s="15"/>
      <c r="AO12" s="17"/>
      <c r="AP12" s="18"/>
      <c r="AQ12" s="18"/>
      <c r="AR12" s="18"/>
      <c r="AS12" s="1"/>
      <c r="AT12" s="1"/>
    </row>
    <row r="13" spans="1:46" ht="18" customHeight="1" x14ac:dyDescent="0.3">
      <c r="A13" s="1"/>
      <c r="B13" s="9" t="s">
        <v>4</v>
      </c>
      <c r="C13" s="105"/>
      <c r="D13" s="105"/>
      <c r="E13" s="105"/>
      <c r="F13" s="105"/>
      <c r="G13" s="105"/>
      <c r="H13" s="105"/>
      <c r="I13" s="99"/>
      <c r="J13" s="99"/>
      <c r="K13" s="99" t="s">
        <v>6</v>
      </c>
      <c r="L13" s="99"/>
      <c r="M13" s="99"/>
      <c r="N13" s="99"/>
      <c r="O13" s="99"/>
      <c r="P13" s="49"/>
      <c r="Q13" s="15"/>
      <c r="R13" s="15"/>
      <c r="S13" s="15"/>
      <c r="T13" s="38"/>
      <c r="U13" s="38"/>
      <c r="V13" s="111" t="str">
        <f>IF(ISERROR(PRODUCT(V12*9.8066)),"",PRODUCT(V12*9.8066))</f>
        <v/>
      </c>
      <c r="W13" s="111"/>
      <c r="X13" s="111"/>
      <c r="Y13" s="111"/>
      <c r="Z13" s="111"/>
      <c r="AA13" s="110" t="s">
        <v>5</v>
      </c>
      <c r="AB13" s="110"/>
      <c r="AC13" s="9"/>
      <c r="AD13" s="9"/>
      <c r="AE13" s="9"/>
      <c r="AF13" s="9"/>
      <c r="AG13" s="9"/>
      <c r="AH13" s="9"/>
      <c r="AI13" s="9"/>
      <c r="AJ13" s="55"/>
      <c r="AK13" s="19"/>
      <c r="AL13" s="15"/>
      <c r="AM13" s="15"/>
      <c r="AN13" s="15"/>
      <c r="AO13" s="17"/>
      <c r="AP13" s="18"/>
      <c r="AQ13" s="18"/>
      <c r="AR13" s="18"/>
      <c r="AS13" s="1"/>
      <c r="AT13" s="1"/>
    </row>
    <row r="14" spans="1:46" ht="18" customHeight="1" x14ac:dyDescent="0.3">
      <c r="A14" s="1"/>
      <c r="B14" s="9"/>
      <c r="C14" s="50"/>
      <c r="D14" s="50"/>
      <c r="E14" s="50"/>
      <c r="F14" s="50"/>
      <c r="G14" s="50"/>
      <c r="H14" s="50"/>
      <c r="I14" s="49"/>
      <c r="J14" s="49"/>
      <c r="K14" s="49"/>
      <c r="L14" s="49"/>
      <c r="M14" s="49"/>
      <c r="N14" s="49"/>
      <c r="O14" s="49"/>
      <c r="P14" s="49"/>
      <c r="Q14" s="15"/>
      <c r="R14" s="15"/>
      <c r="S14" s="15"/>
      <c r="T14" s="41"/>
      <c r="U14" s="41"/>
      <c r="V14" s="111" t="str">
        <f>IF(ISERROR(PRODUCT(V12*86.7959)),"",PRODUCT(V12*86.7959))</f>
        <v/>
      </c>
      <c r="W14" s="111"/>
      <c r="X14" s="111"/>
      <c r="Y14" s="111"/>
      <c r="Z14" s="111"/>
      <c r="AA14" s="110" t="s">
        <v>46</v>
      </c>
      <c r="AB14" s="110"/>
      <c r="AC14" s="9"/>
      <c r="AD14" s="1"/>
      <c r="AE14" s="9"/>
      <c r="AF14" s="9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1"/>
    </row>
    <row r="15" spans="1:46" ht="9" customHeight="1" x14ac:dyDescent="0.3">
      <c r="A15" s="1"/>
      <c r="B15" s="9"/>
      <c r="C15" s="9"/>
      <c r="D15" s="36"/>
      <c r="E15" s="36"/>
      <c r="F15" s="36"/>
      <c r="G15" s="36"/>
      <c r="H15" s="36"/>
      <c r="I15" s="36"/>
      <c r="J15" s="36"/>
      <c r="K15" s="42"/>
      <c r="L15" s="42"/>
      <c r="M15" s="42"/>
      <c r="N15" s="43"/>
      <c r="O15" s="43"/>
      <c r="P15" s="41"/>
      <c r="Q15" s="41"/>
      <c r="R15" s="41"/>
      <c r="S15" s="41"/>
      <c r="T15" s="41"/>
      <c r="U15" s="41"/>
      <c r="V15" s="41"/>
      <c r="W15" s="42"/>
      <c r="X15" s="42"/>
      <c r="Y15" s="42"/>
      <c r="Z15" s="42"/>
      <c r="AA15" s="42"/>
      <c r="AB15" s="37"/>
      <c r="AC15" s="1"/>
      <c r="AD15" s="18"/>
      <c r="AE15" s="9"/>
      <c r="AF15" s="9"/>
      <c r="AG15" s="21"/>
      <c r="AH15" s="84" t="s">
        <v>25</v>
      </c>
      <c r="AI15" s="84" t="s">
        <v>26</v>
      </c>
      <c r="AJ15" s="84" t="s">
        <v>27</v>
      </c>
      <c r="AK15" s="84" t="s">
        <v>28</v>
      </c>
      <c r="AL15" s="84" t="s">
        <v>35</v>
      </c>
      <c r="AM15" s="84" t="s">
        <v>36</v>
      </c>
      <c r="AN15" s="84" t="s">
        <v>37</v>
      </c>
      <c r="AO15" s="84" t="s">
        <v>31</v>
      </c>
      <c r="AP15" s="84" t="s">
        <v>32</v>
      </c>
      <c r="AQ15" s="84" t="s">
        <v>33</v>
      </c>
      <c r="AR15" s="84" t="s">
        <v>34</v>
      </c>
      <c r="AS15" s="84" t="s">
        <v>39</v>
      </c>
    </row>
    <row r="16" spans="1:46" ht="18" customHeight="1" x14ac:dyDescent="0.3">
      <c r="A16" s="1"/>
      <c r="B16" s="1"/>
      <c r="C16" s="107" t="s">
        <v>14</v>
      </c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37"/>
      <c r="Y16" s="9"/>
      <c r="Z16" s="9"/>
      <c r="AA16" s="9"/>
      <c r="AB16" s="9"/>
      <c r="AC16" s="81"/>
      <c r="AD16" s="9"/>
      <c r="AE16" s="1"/>
      <c r="AF16" s="1"/>
      <c r="AG16" s="22" t="s">
        <v>47</v>
      </c>
      <c r="AH16" s="85" t="str">
        <f>IF(V12="","",IF(V12&lt;=80.3,"112",IF(V12&lt;=142,"125",IF(V12&lt;=205,"140",IF(V12&lt;=314,"160",IF(V12&lt;=482,"180",IF(V12&lt;=689,"200",IF(V12&lt;=1000,"224",IF(V12&lt;=1470,"250",IF(V12&lt;=2340,"280",IF(V12&lt;=3680,"315",IF(V12&lt;=5550,"355",IF(V12&lt;=7790,"400",IF(V12&gt;=7790,"  ---  "))))))))))))))</f>
        <v/>
      </c>
      <c r="AI16" s="86" t="str">
        <f>IF(V12="","",IF(V12&lt;=7790,"  ---  ",IF(V12&lt;=11000,"450",IF(V12&lt;=16600,"500",IF(V12&lt;=25500,"560",IF(V12&lt;=42000,"630",IF(V12&lt;=61200,"710",IF(V12&lt;=87500,"800",IF(V12&lt;=125000,"900",IF(V12&lt;=171000,"1000",IF(V12&lt;=240000,"1120",IF(V12&lt;=331000,"1250",IF(V12&gt;=331000,"규격 문의 바람")))))))))))))</f>
        <v/>
      </c>
      <c r="AJ16" s="84" t="str">
        <f>IF(V12="","",IF(V12&lt;=86,"10",IF(V12&lt;=193,"15",IF(V12&lt;=358,"20",IF(V12&lt;=644,"25",IF(V12&lt;=1074,"30",IF(V12&lt;=1647,"35",IF(V12&lt;=2506,"40",IF(V12&lt;=3437,"45",IF(V12&lt;=4553,"50",IF(V12&lt;=6087,"55",IF(V12&lt;=7878,"60",IF(V12&gt;7878,"  ---  ")))))))))))))</f>
        <v/>
      </c>
      <c r="AK16" s="84" t="str">
        <f>IF(V12="","",IF(V12&lt;7878,"  ---  ",IF(V12&lt;=11459,"70",IF(V12&lt;=15040,"80",IF(V12&lt;=20411,"90",IF(V12&lt;=28648,"100",IF(V12&lt;=39394,"110",IF(V12&lt;=50134,"120",IF(V12&gt;=50135,"규격문의")))))))))</f>
        <v/>
      </c>
      <c r="AL16" s="84" t="str">
        <f>IF(V12="","",IF(V12&lt;=3.4,"05",IF(V12&lt;=9.2,"10",IF(V12&lt;=18,"15",IF(V12&lt;=25,"20",IF(V12&lt;=43,"25",IF(V12&lt;=79,"30",IF(V12&lt;=130,"35",IF(V12&lt;=210,"40",IF(V12&lt;=340,"45",IF(V12&lt;=500,"50",IF(V12&lt;=650,"55",IF(V12&gt;651,"규격없음")))))))))))))</f>
        <v/>
      </c>
      <c r="AM16" s="23" t="str">
        <f>IF(V12="","",IF(V12&lt;19,"  ---  ",IF(V12&lt;=58,"00",IF(V12&lt;=94,"01",IF(V12&lt;=174,"02",IF(V12&lt;=341,"03",IF(V12&lt;=500,"04",IF(V12&lt;=620,"05",IF(V12&lt;=840,"10",IF(V12&lt;=1090,"15",IF(V12&lt;=1820,"20",IF(V12&lt;=2690,"25",IF(V12&lt;=3410,"30",IF(V12&lt;=4070,"35",IF(V12&lt;=4720,"40",IF(V12&lt;=6100,"45",IF(V12&lt;=7620,"50",IF(V12&lt;=9440,"55",IF(V12&lt;=10890,"60",IF(V12&lt;=13070,"65",IF(V12&gt;13071,"규격없음")))))))))))))))))))))</f>
        <v/>
      </c>
      <c r="AN16" s="23" t="str">
        <f>IF(V12="","",IF(V12&lt;175,"  ---  ",IF(V12&lt;=392,"01",IF(V12&lt;=726,"03",IF(V12&lt;=915,"05",IF(V12&lt;=1100,"10",IF(V12&lt;=1570,"15",IF(V12&lt;=2610,"20",IF(V12&lt;=3850,"25",IF(V12&lt;=4810,"30",IF(V12&lt;=5820,"35",IF(V12&lt;=6570,"40",IF(V12&lt;=8530,"45",IF(V12&lt;=10530,"50",IF(V12&lt;=13070,"55",IF(V12&gt;13071,"규격없음"))))))))))))))))</f>
        <v/>
      </c>
      <c r="AO16" s="87" t="str">
        <f>IF(V12="","",IF(V12&lt;=4.9,"20",IF(V12&lt;=13.9,"30",IF(V12&lt;=23,"40",IF(V12&lt;=40,"50",IF(V12&lt;=63,"60",IF(V12&lt;=92,"70",IF(V12&lt;=190,"80",IF(V12&lt;=345,"90",IF(V12&lt;=581,"100",IF(V12&lt;=864,"110",IF(V12&lt;=1267,"120",IF(V12&lt;=1843,"130",IF(V12&lt;=2659,"140",IF(V12&lt;=3686,"150",IF(V12&lt;=5184,"160",IF(V12&lt;=6912,"170",IF(V12&lt;=9585,"180",IF(V12&lt;=12673,"190",IF(V12&lt;=17282,"200",IF(V12&lt;=23042,"210",IF(V12&lt;=31107,"220",IF(V12&lt;=44387,"230",IF(V12&lt;=51845,"240",IF(V12&gt;51846,"규격없음")))))))))))))))))))))))))</f>
        <v/>
      </c>
      <c r="AP16" s="87" t="str">
        <f>IF(V12="","",IF(V12&lt;=3,"100",IF(V12&lt;=8,"135",IF(V12&lt;=15,"180",IF(V12&lt;=30,"210",IF(V12&lt;=75,"265",IF(V12&lt;=125,"310",IF(V12&lt;=275,"400",IF(V12&lt;=500,"450",IF(V12&lt;=1000,"550",IF(V12&lt;=2000,"700",IF(V12&gt;2000,"규격없음"))))))))))))</f>
        <v/>
      </c>
      <c r="AQ16" s="84" t="str">
        <f>IF(V12="","",IF(V12&lt;=5,"100",IF(V12&lt;=10,"120",IF(V12&lt;=15,"140",IF(V12&lt;=22,"160",IF(V12&lt;=30,"185",IF(V12&lt;=50,"220",IF(V12&lt;=100,"265",IF(V12&lt;=165,"340",IF(V12&lt;=500,"445",IF(V12&lt;=1000,"550",IF(V12&lt;=2000,"700",IF(V12&gt;2000,"규격없음")))))))))))))</f>
        <v/>
      </c>
      <c r="AR16" s="84" t="str">
        <f>IF(V12="","",IF(V12&lt;=459,"0.25",IF(V12&lt;=612,"0.5",IF(V12&lt;=765,"0.75",IF(V12&lt;=918,"1",IF(V12&lt;=1581,"1.3",IF(V12&lt;=1989,"1.6",IF(V12&lt;=2449,"2",IF(V12&lt;=2857,"3",IF(V12&lt;=3877,"4",IF(V12&lt;=7143,"6",IF(V12&lt;=12245,"10",IF(V12&lt;=18367,"15",IF(V12&lt;=31632,"26",IF(V12&lt;=40816,"34",IF(V12&lt;=51020,"42",IF(V12&lt;=69898,"62",IF(V12&gt;69898,"규격문의"))))))))))))))))))</f>
        <v/>
      </c>
      <c r="AS16" s="84" t="str">
        <f>IF(V12="","",IF(V12&lt;=0.4,"050",IF(V12&lt;=1,"070",IF(V12&lt;=1.5,"090",IF(V12&lt;=2.5,"0010",IF(V12&lt;=3.4,"0020",IF(V12&lt;=12,"2035A",IF(V12&lt;=32,"2035",IF(V12&lt;=65,"3545",IF(V12&lt;=90,"4560",IF(V12&lt;=125,"6070",IF(V12&lt;=293,"7080",IF(V12&lt;=520,"8090",IF(V12&lt;=790,"90100",IF(V12&gt;790,"규격없음")))))))))))))))</f>
        <v/>
      </c>
      <c r="AT16" s="1"/>
    </row>
    <row r="17" spans="1:46" ht="18" customHeight="1" x14ac:dyDescent="0.3">
      <c r="A17" s="1"/>
      <c r="B17" s="1"/>
      <c r="C17" s="64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44"/>
      <c r="S17" s="44"/>
      <c r="T17" s="44"/>
      <c r="U17" s="44"/>
      <c r="V17" s="42"/>
      <c r="W17" s="51"/>
      <c r="X17" s="51"/>
      <c r="Y17" s="51"/>
      <c r="Z17" s="51"/>
      <c r="AA17" s="51"/>
      <c r="AB17" s="9"/>
      <c r="AC17" s="9"/>
      <c r="AD17" s="9"/>
      <c r="AE17" s="61">
        <v>1</v>
      </c>
      <c r="AF17" s="1"/>
      <c r="AG17" s="54" t="s">
        <v>50</v>
      </c>
      <c r="AH17" s="88" t="str">
        <f>IF(V10="","",IF(V10&lt;=40,"112",IF(V10&lt;=50,"125",IF(V10&lt;=56,"140",IF(V10&lt;=65,"160",IF(V10&lt;=75,"180",IF(V10&lt;=85,"200",IF(V10&lt;=100,"224",IF(V10&lt;=115,"250",IF(V10&lt;=135,"280",IF(V10&lt;=160,"315",IF(V10&lt;=180,"355",IF(V10&lt;=200,"400",IF(V10&gt;200,"  ---  "))))))))))))))</f>
        <v/>
      </c>
      <c r="AI17" s="89" t="str">
        <f>IF(V10="","",IF(V10&lt;205,"  ---  ",IF(V10&lt;=205,"450",IF(V10&lt;=250,"500",IF(V10&lt;=280,"560",IF(V10&lt;=325,"630",IF(V10&lt;=360,"710",IF(V10&lt;=405,"800",IF(V10&lt;=475,"900",IF(V10&lt;=510,"1000",IF(V10&lt;=600,"1120",IF(V10&lt;=710,"1250",IF(V10&gt;=710,"규격 문의 바람")))))))))))))</f>
        <v/>
      </c>
      <c r="AJ17" s="90" t="str">
        <f>IF(V10="","",IF(V10&lt;=48,"10",IF(V10&lt;=60,"15",IF(V10&lt;=73,"20",IF(V10&lt;=92,"25",IF(V10&lt;=105,"30",IF(V10&lt;=124,"35",IF(V10&lt;=146,"40",IF(V10&lt;=165,"45",IF(V10&lt;=178,"50",IF(V10&lt;=197,"55",IF(V10&lt;=222,"60",IF(V10&gt;=222,"  ---  ")))))))))))))</f>
        <v/>
      </c>
      <c r="AK17" s="90" t="str">
        <f>IF(V10="","",IF(V10&lt;222,"  ---  ",IF(V10&lt;=254,"70",IF(V10&lt;=279,"80",IF(V10&lt;=305,"90",IF(V10&lt;=343,"100",IF(V10&lt;=387,"110",IF(V10&lt;=425,"120",IF(V10&gt;425,"규격문의")))))))))</f>
        <v/>
      </c>
      <c r="AL17" s="90" t="str">
        <f>IF(V10="","",IF(V10&lt;=10,"05",IF(V10&lt;=32,"10",IF(V10&lt;=35,"15",IF(V10&lt;=42,"20",IF(V10&lt;=50,"25",IF(V10&lt;=60,"30",IF(V10&lt;=72,"35",IF(V10&lt;=82,"40",IF(V10&lt;=95,"45",IF(V10&lt;=108,"50",IF(V10&lt;=118,"55",IF(V10&gt;118,"규격없음")))))))))))))</f>
        <v/>
      </c>
      <c r="AM17" s="24" t="str">
        <f>IF(V10="","",IF(V10&lt;10,"  ---  ",IF(V10&lt;=51,"00",IF(V10&lt;=55,"01",IF(V10&lt;=67,"02",IF(V10&lt;=72,"03",IF(V10&lt;=85,"04",IF(V10&lt;=111,"05",IF(V10&lt;=111,"10",IF(V10&lt;=133,"15",IF(V10&lt;=152,"20",IF(V10&lt;=165,"25",IF(V10&lt;=178,"30",IF(V10&lt;=187,"35",IF(V10&lt;=205,"40",IF(V10&lt;=231,"45",IF(V10&lt;=254,"50",IF(V10&lt;=263,"55",IF(V10&lt;=275,"60",IF(V10&lt;=289,"65",IF(V10&gt;289,"규격없음")))))))))))))))))))))</f>
        <v/>
      </c>
      <c r="AN17" s="24" t="str">
        <f>IF(V10="","",IF(V10&lt;10,"  ---  ",IF(V10&lt;=95,"01",IF(V10&lt;=108,"03",IF(V10&lt;=111,"05",IF(V10&lt;=111,"10",IF(V10&lt;=133,"15",IF(V10&lt;=152,"20",IF(V10&lt;=165,"25",IF(V10&lt;=178,"30",IF(V10&lt;=187,"35",IF(V10&lt;=205,"40",IF(V10&lt;=231,"45",IF(V10&lt;=254,"50",IF(V10&lt;=263,"55",IF(V12&gt;263,"규격없음"))))))))))))))))</f>
        <v/>
      </c>
      <c r="AO17" s="91" t="str">
        <f>IF(V10="","",IF(V10&lt;=30,"20",IF(V10&lt;=36,"30",IF(V10&lt;=44,"40",IF(V10&lt;=50,"50",IF(V10&lt;=57,"60",IF(V10&lt;=65,"70",IF(V10&lt;=79,"80",IF(V10&lt;=95,"90",IF(V10&lt;=107,"100",IF(V10&lt;=117,"110",IF(V10&lt;=136,"120",IF(V10&lt;=165,"130",IF(V10&lt;=184,"140",IF(V10&lt;=203,"150",IF(V10&lt;=228,"160",IF(V10&lt;=279,"170",IF(V10&lt;=311,"180",IF(V10&lt;=339,"190",IF(V10&lt;=361,"200",IF(V10&lt;=366,"210",IF(V10&lt;=381,"220",IF(V10&lt;=406,"230",IF(V10&lt;=431,"240",IF(V12&gt;431,"규격없음")))))))))))))))))))))))))</f>
        <v/>
      </c>
      <c r="AP17" s="91" t="str">
        <f>IF(V10="","",IF(V10&lt;=22,"100",IF(V10&lt;=30,"135",IF(V10&lt;=35,"180",IF(V10&lt;=50,"210",IF(V10&lt;=60,"265",IF(V10&lt;=70,"310",IF(V10&lt;=85,"400",IF(V10&lt;=100,"450",IF(V10&lt;=130,"550",IF(V10&lt;=160,"700",IF(V10&gt;160,"규격없음"))))))))))))</f>
        <v/>
      </c>
      <c r="AQ17" s="90" t="str">
        <f>IF(V10="","",IF(V10&lt;=22,"100",IF(V10&lt;=28,"120",IF(V10&lt;=35,"140",IF(V10&lt;=42,"160",IF(V10&lt;=48,"185",IF(V10&lt;=55,"220",IF(V10&lt;=75,"265",IF(V10&lt;=95,"340",IF(V10&lt;=128,"445",IF(V10&lt;=170,"550",IF(V10&lt;=220,"700",IF(V10&gt;220,"규격없음")))))))))))))</f>
        <v/>
      </c>
      <c r="AR17" s="90" t="str">
        <f>IF(V10="","",IF(V10&lt;=65,"0.25",IF(V10&lt;=75,"0.5",IF(V10&lt;=85,"0.75",IF(V10&lt;=95,"1",IF(V10&lt;=110,"1.3",IF(V10&lt;=125,"1.6",IF(V10&lt;=140,"2",IF(V10&lt;=155,"3",IF(V10&lt;=180,"4",IF(V10&lt;=215,"6",IF(V10&lt;=245,"10",IF(V10&lt;=290,"15",IF(V10&lt;=310,"26",IF(V10&lt;=330,"34",IF(V10&lt;=370,"42",IF(V10&lt;=420,"62",IF(V10&gt;420,"규격문의"))))))))))))))))))</f>
        <v/>
      </c>
      <c r="AS17" s="90" t="str">
        <f>IF(V10="","",IF(V10&lt;=11,"050",IF(V10&lt;=14,"070",IF(V10&lt;=22,"090",IF(V10&lt;=19,"0010",IF(V10&lt;=24,"0020",IF(V10&lt;=28,"2035A",IF(V10&lt;=38,"2035",IF(V10&lt;=45,"3545",IF(V10&lt;=60,"4560",IF(V10&lt;=75,"6070",IF(V10&lt;=100,"7080",IF(V10&lt;=110,"8090",IF(V10&lt;=110,"90100",IF(V10&gt;110,"규격없음")))))))))))))))</f>
        <v/>
      </c>
      <c r="AT17" s="1"/>
    </row>
    <row r="18" spans="1:46" ht="12.75" customHeight="1" x14ac:dyDescent="0.3">
      <c r="A18" s="1"/>
      <c r="B18" s="1"/>
      <c r="C18" s="64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44"/>
      <c r="S18" s="44"/>
      <c r="T18" s="44"/>
      <c r="U18" s="44"/>
      <c r="V18" s="42"/>
      <c r="W18" s="51"/>
      <c r="X18" s="51"/>
      <c r="Y18" s="9"/>
      <c r="Z18" s="9"/>
      <c r="AA18" s="9"/>
      <c r="AB18" s="9"/>
      <c r="AC18" s="5" t="s">
        <v>15</v>
      </c>
      <c r="AD18" s="21"/>
      <c r="AE18" s="19"/>
      <c r="AF18" s="19"/>
      <c r="AG18" s="25" t="s">
        <v>52</v>
      </c>
      <c r="AH18" s="26" t="str">
        <f>IF(V12="","",IF(V12&lt;=80.3,"112",IF(V12&lt;=142,"125",IF(V12&lt;=205,"140",IF(V12&lt;=314,"160",IF(V12&lt;=482,"180",IF(V12&lt;=689,"200",IF(V12&lt;=1000,"224",IF(V12&lt;=1470,"250",IF(V12&lt;=2340,"280",IF(V12&lt;=3680,"315",IF(V12&lt;=5550,"355",IF(V12&lt;=7790,"400",IF(V12&gt;=7790,"  ---  "))))))))))))))</f>
        <v/>
      </c>
      <c r="AI18" s="26" t="str">
        <f>IF(V12="","",IF(V12&lt;=7790,"  ---  ",IF(V12&lt;=11000,"450",IF(V12&lt;=16600,"500",IF(V12&lt;=25500,"560",IF(V12&lt;=42000,"630",IF(V12&lt;=61200,"710",IF(V12&lt;=87500,"800",IF(V12&lt;=125000,"900",IF(V12&lt;=171000,"1000",IF(V12&lt;=240000,"1120",IF(V12&lt;=331000,"1250",IF(V12&gt;=331000,"규격 문의 바람")))))))))))))</f>
        <v/>
      </c>
      <c r="AJ18" s="26" t="str">
        <f>IF(V12="","",IF(V12&lt;=86,"10",IF(V12&lt;=193,"15",IF(V12&lt;=358,"20",IF(V12&lt;=644,"25",IF(V12&lt;=1074,"30",IF(V12&lt;=1647,"35",IF(V12&lt;=2506,"40",IF(V12&lt;=3437,"45",IF(V12&lt;=4553,"50",IF(V12&lt;=6087,"55",IF(V12&lt;=7878,"60",IF(V12&gt;7878,"  ---  ")))))))))))))</f>
        <v/>
      </c>
      <c r="AK18" s="26" t="str">
        <f>IF(V12="","",IF(V12&lt;7878,"  ---  ",IF(V12&lt;=11459,"70",IF(V12&lt;=15040,"80",IF(V12&lt;=20411,"90",IF(V12&lt;=28648,"100",IF(V12&lt;=39394,"110",IF(V12&lt;=50134,"120",IF(V12&gt;=50135,"규격문의")))))))))</f>
        <v/>
      </c>
      <c r="AL18" s="92" t="str">
        <f>IF(V12="","",IF(V12&lt;=3.4,"05",IF(V12&lt;=9.2,"10",IF(V12&lt;=18,"15",IF(V12&lt;=25,"20",IF(V12&lt;=43,"25",IF(V12&lt;=79,"30",IF(V12&lt;=130,"35",IF(V12&lt;=210,"40",IF(V12&lt;=340,"45",IF(V12&lt;=500,"50",IF(V12&lt;=650,"55",IF(V12&gt;651,"규격없음")))))))))))))</f>
        <v/>
      </c>
      <c r="AM18" s="93" t="str">
        <f>IF(V12="","",IF(V12&lt;19,"  ---  ",IF(V12&lt;=58,"00",IF(V12&lt;=94,"01",IF(V12&lt;=174,"02",IF(V12&lt;=341,"03",IF(V12&lt;=500,"04",IF(V12&lt;=620,"05",IF(V12&lt;=840,"10",IF(V12&lt;=1090,"15",IF(V12&lt;=1820,"20",IF(V12&lt;=2690,"25",IF(V12&lt;=3410,"30",IF(V12&lt;=4070,"35",IF(V12&lt;=4720,"40",IF(V12&lt;=6100,"45",IF(V12&lt;=7620,"50",IF(V12&lt;=9440,"55",IF(V12&lt;=10890,"60",IF(V12&lt;=13070,"65",IF(V12&gt;13071,"규격없음")))))))))))))))))))))</f>
        <v/>
      </c>
      <c r="AN18" s="93" t="str">
        <f>IF(V12="","",IF(V12&lt;175,"  ---  ",IF(V12&lt;=392,"01",IF(V12&lt;=726,"03",IF(V12&lt;=915,"05",IF(V12&lt;=1100,"10",IF(V12&lt;=1570,"15",IF(V12&lt;=2610,"20",IF(V12&lt;=3850,"25",IF(V12&lt;=4810,"30",IF(V12&lt;=5820,"35",IF(V12&lt;=6570,"40",IF(V12&lt;=8530,"45",IF(V12&lt;=10530,"50",IF(V12&lt;=13070,"55",IF(V12&gt;13071,"규격없음"))))))))))))))))</f>
        <v/>
      </c>
      <c r="AO18" s="93" t="str">
        <f>IF(V12="","",IF(V12&lt;=4.9,"20",IF(V12&lt;=13.9,"30",IF(V12&lt;=23,"40",IF(V12&lt;=40,"50",IF(V12&lt;=63,"60",IF(V12&lt;=92,"70",IF(V12&lt;=190,"80",IF(V12&lt;=345,"90",IF(V12&lt;=581,"100",IF(V12&lt;=864,"110",IF(V12&lt;=1267,"120",IF(V12&lt;=1843,"130",IF(V12&lt;=2659,"140",IF(V12&lt;=3686,"150",IF(V12&lt;=5184,"160",IF(V12&lt;=6912,"170",IF(V12&lt;=9585,"180",IF(V12&lt;=12673,"190",IF(V12&lt;=17282,"200",IF(V12&lt;=23042,"210",IF(V12&lt;=31107,"220",IF(V12&lt;=44387,"230",IF(V12&lt;=51845,"240",IF(V12&gt;51846,"규격없음")))))))))))))))))))))))))</f>
        <v/>
      </c>
      <c r="AP18" s="27" t="str">
        <f>IF(V12="","",IF(V12&lt;=3,"100",IF(V12&lt;=8,"135",IF(V12&lt;=15,"180",IF(V12&lt;=30,"210",IF(V12&lt;=75,"265",IF(V12&lt;=125,"310",IF(V12&lt;=275,"400",IF(V12&lt;=500,"450",IF(V12&lt;=1000,"550",IF(V12&lt;=2000,"700",IF(V12&gt;2000,"규격없음"))))))))))))</f>
        <v/>
      </c>
      <c r="AQ18" s="27" t="str">
        <f>IF(V12="","",IF(V12&lt;=5,"100",IF(V12&lt;=10,"120",IF(V12&lt;=15,"140",IF(V12&lt;=22,"160",IF(V12&lt;=30,"185",IF(V12&lt;=50,"220",IF(V12&lt;=100,"265",IF(V12&lt;=165,"340",IF(V12&lt;=500,"445",IF(V12&lt;=1000,"550",IF(V12&lt;=2000,"700",IF(V12&gt;2000,"규격없음")))))))))))))</f>
        <v/>
      </c>
      <c r="AR18" s="26" t="str">
        <f>IF(V12="","",IF(V12&lt;=459,"0.25",IF(V12&lt;=612,"0.5",IF(V12&lt;=765,"0.75",IF(V12&lt;=918,"1",IF(V12&lt;=1581,"1.3",IF(V12&lt;=1989,"1.6",IF(V12&lt;=2449,"2",IF(V12&lt;=2857,"3",IF(V12&lt;=3877,"4",IF(V12&lt;=7143,"6",IF(V12&lt;=12245,"10",IF(V12&lt;=18367,"15",IF(V12&lt;=31632,"26",IF(V12&lt;=40816,"34",IF(V12&lt;=51020,"42",IF(V12&lt;=69898,"62",IF(V12&gt;69898,"규격문의"))))))))))))))))))</f>
        <v/>
      </c>
      <c r="AS18" s="26" t="str">
        <f>IF(V12="","",IF(V12&lt;=0.4,"050",IF(V12&lt;=1,"070",IF(V12&lt;=1.5,"090",IF(V12&lt;=2.5,"0010",IF(V12&lt;=3.4,"0020",IF(V12&lt;=12,"2035A",IF(V12&lt;=32,"2035",IF(V12&lt;=65,"3545",IF(V12&lt;=90,"4560",IF(V12&lt;=125,"6070",IF(V12&lt;=293,"7080",IF(V12&lt;=520,"8090",IF(V12&lt;=790,"90100",IF(V12&gt;790,"규격없음")))))))))))))))</f>
        <v/>
      </c>
      <c r="AT18" s="1"/>
    </row>
    <row r="19" spans="1:46" ht="18" customHeight="1" x14ac:dyDescent="0.3">
      <c r="A19" s="1"/>
      <c r="B19" s="1"/>
      <c r="C19" s="9"/>
      <c r="D19" s="45" t="s">
        <v>30</v>
      </c>
      <c r="E19" s="116" t="s">
        <v>40</v>
      </c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08" t="s">
        <v>38</v>
      </c>
      <c r="S19" s="108"/>
      <c r="T19" s="108"/>
      <c r="U19" s="108"/>
      <c r="V19" s="108"/>
      <c r="W19" s="109" t="s">
        <v>38</v>
      </c>
      <c r="X19" s="109"/>
      <c r="Y19" s="109"/>
      <c r="Z19" s="38" t="s">
        <v>8</v>
      </c>
      <c r="AA19" s="38"/>
      <c r="AB19" s="38"/>
      <c r="AC19" s="9"/>
      <c r="AD19" s="46"/>
      <c r="AE19" s="19"/>
      <c r="AF19" s="19"/>
      <c r="AG19" s="54" t="s">
        <v>51</v>
      </c>
      <c r="AH19" s="90" t="str">
        <f>IF(V10="","",IF(V10&lt;=40,"112",IF(V10&lt;=50,"125",IF(V10&lt;=56,"140",IF(V10&lt;=65,"160",IF(V10&lt;=75,"180",IF(V10&lt;=85,"200",IF(V10&lt;=100,"224",IF(V10&lt;=115,"250",IF(V10&lt;=135,"280",IF(V10&lt;=160,"315",IF(V10&lt;=180,"355",IF(V10&lt;=200,"400",IF(V10&gt;200,"  ---  "))))))))))))))</f>
        <v/>
      </c>
      <c r="AI19" s="90" t="str">
        <f>IF(V10="","",IF(V10&lt;205,"  ---  ",IF(V10&lt;=205,"450",IF(V10&lt;=250,"500",IF(V10&lt;=280,"560",IF(V10&lt;=325,"630",IF(V10&lt;=360,"710",IF(V10&lt;=405,"800",IF(V10&lt;=475,"900",IF(V10&lt;=510,"1000",IF(V10&lt;=600,"1120",IF(V10&lt;=710,"1250",IF(V10&gt;=710,"규격 문의 바람")))))))))))))</f>
        <v/>
      </c>
      <c r="AJ19" s="24" t="str">
        <f>IF(V10="","",IF(V10&lt;=48,"10",IF(V10&lt;=60,"15",IF(V10&lt;=73,"20",IF(V10&lt;=92,"25",IF(V10&lt;=105,"30",IF(V10&lt;=124,"35",IF(V10&lt;=146,"40",IF(V10&lt;=165,"45",IF(V10&lt;=178,"50",IF(V10&lt;=197,"55",IF(V10&lt;=222,"60",IF(V10&gt;=222,"  ---  ")))))))))))))</f>
        <v/>
      </c>
      <c r="AK19" s="24" t="str">
        <f>IF(V10="","",IF(V10&lt;222,"  ---  ",IF(V10&lt;=254,"70",IF(V10&lt;=279,"80",IF(V10&lt;=305,"90",IF(V10&lt;=343,"100",IF(V10&lt;=387,"110",IF(V10&lt;=425,"120",IF(V12&gt;425,"규격문의")))))))))</f>
        <v/>
      </c>
      <c r="AL19" s="91" t="str">
        <f>IF(V10="","",IF(V10&lt;=10,"05",IF(V10&lt;=32,"10",IF(V10&lt;=35,"15",IF(V10&lt;=42,"20",IF(V10&lt;=50,"25",IF(V10&lt;=60,"30",IF(V10&lt;=72,"35",IF(V10&lt;=82,"40",IF(V10&lt;=95,"45",IF(V10&lt;=108,"50",IF(V10&lt;=118,"55",IF(V10&gt;118,"규격없음")))))))))))))</f>
        <v/>
      </c>
      <c r="AM19" s="91" t="str">
        <f>IF(V10="","",IF(V10&lt;10,"  ---  ",IF(V10&lt;=51,"00",IF(V10&lt;=55,"01",IF(V10&lt;=67,"02",IF(V10&lt;=72,"03",IF(V10&lt;=85,"04",IF(V10&lt;=111,"05",IF(V10&lt;=111,"10",IF(V10&lt;=133,"15",IF(V10&lt;=152,"20",IF(V10&lt;=165,"25",IF(V10&lt;=178,"30",IF(V10&lt;=187,"35",IF(V10&lt;=205,"40",IF(V10&lt;=231,"45",IF(V10&lt;=254,"50",IF(V10&lt;=263,"55",IF(V10&lt;=275,"60",IF(V10&lt;=289,"65",IF(V10&gt;289,"규격없음")))))))))))))))))))))</f>
        <v/>
      </c>
      <c r="AN19" s="90" t="str">
        <f>IF(V10="","",IF(V10&lt;10,"  ---  ",IF(V10&lt;=95,"01",IF(V10&lt;=108,"03",IF(V10&lt;=111,"05",IF(V10&lt;=111,"10",IF(V10&lt;=133,"15",IF(V10&lt;=152,"20",IF(V10&lt;=165,"25",IF(V10&lt;=178,"30",IF(V10&lt;=187,"35",IF(V10&lt;=205,"40",IF(V10&lt;=231,"45",IF(V10&lt;=254,"50",IF(V10&lt;=263,"55",IF(V12&gt;263,"규격없음"))))))))))))))))</f>
        <v/>
      </c>
      <c r="AO19" s="90" t="str">
        <f>IF(V10="","",IF(V10&lt;=30,"20",IF(V10&lt;=36,"30",IF(V10&lt;=44,"40",IF(V10&lt;=50,"50",IF(V10&lt;=57,"60",IF(V10&lt;=65,"70",IF(V10&lt;=79,"80",IF(V10&lt;=95,"90",IF(V10&lt;=107,"100",IF(V10&lt;=117,"110",IF(V10&lt;=136,"120",IF(V10&lt;=165,"130",IF(V10&lt;=184,"140",IF(V10&lt;=203,"150",IF(V10&lt;=228,"160",IF(V10&lt;=279,"170",IF(V10&lt;=311,"180",IF(V10&lt;=339,"190",IF(V10&lt;=361,"200",IF(V10&lt;=366,"210",IF(V10&lt;=381,"220",IF(V10&lt;=406,"230",IF(V10&lt;=431,"240",IF(V12&gt;431,"규격없음")))))))))))))))))))))))))</f>
        <v/>
      </c>
      <c r="AP19" s="90" t="str">
        <f>IF(V10="","",IF(V10&lt;=22,"100",IF(V10&lt;=30,"135",IF(V10&lt;=35,"180",IF(V10&lt;=50,"210",IF(V10&lt;=60,"265",IF(V10&lt;=70,"310",IF(V10&lt;=85,"400",IF(V10&lt;=100,"450",IF(V10&lt;=130,"550",IF(V10&lt;=160,"700",IF(V10&gt;160,"규격없음"))))))))))))</f>
        <v/>
      </c>
      <c r="AQ19" s="90" t="str">
        <f>IF(V10="","",IF(V10&lt;=22,"100",IF(V10&lt;=28,"120",IF(V10&lt;=35,"140",IF(V10&lt;=42,"160",IF(V10&lt;=48,"185",IF(V10&lt;=55,"220",IF(V10&lt;=75,"265",IF(V10&lt;=95,"340",IF(V10&lt;=128,"445",IF(V10&lt;=170,"550",IF(V10&lt;=220,"700",IF(V10&gt;220,"규격없음")))))))))))))</f>
        <v/>
      </c>
      <c r="AR19" s="90" t="str">
        <f>IF(V10="","",IF(V10&lt;=65,"0.25",IF(V10&lt;=75,"0.5",IF(V10&lt;=85,"0.75",IF(V10&lt;=95,"1",IF(V10&lt;=110,"1.3",IF(V10&lt;=125,"1.6",IF(V10&lt;=140,"2",IF(V10&lt;=155,"3",IF(V10&lt;=180,"4",IF(V10&lt;=215,"6",IF(V10&lt;=245,"10",IF(V10&lt;=290,"15",IF(V10&lt;=310,"26",IF(V10&lt;=330,"34",IF(V10&lt;=370,"42",IF(V10&lt;=420,"62",IF(V10&gt;420,"규격문의"))))))))))))))))))</f>
        <v/>
      </c>
      <c r="AS19" s="90" t="str">
        <f>IF(V10="","",IF(V10&lt;=11,"050",IF(V10&lt;=14,"070",IF(V10&lt;=22,"090",IF(V10&lt;=19,"0010",IF(V10&lt;=24,"0020",IF(V10&lt;=28,"2035A",IF(V10&lt;=38,"2035",IF(V10&lt;=45,"3545",IF(V10&lt;=60,"4560",IF(V10&lt;=75,"6070",IF(V10&lt;=100,"7080",IF(V10&lt;=110,"8090",IF(V10&lt;=110,"90100",IF(V10&gt;110,"규격없음")))))))))))))))</f>
        <v/>
      </c>
      <c r="AT19" s="1"/>
    </row>
    <row r="20" spans="1:46" ht="18" customHeight="1" x14ac:dyDescent="0.3">
      <c r="A20" s="1"/>
      <c r="B20" s="9"/>
      <c r="C20" s="51"/>
      <c r="D20" s="51"/>
      <c r="E20" s="119" t="str">
        <f>IF(AE17=1,"SSM",IF(AE17=2,"GD",IF(AE17=3,"(4-bolt) A3-",IF(AE17=4,"SH",IF(AE17=5,"RF",IF(AE17=6,"JAC",IF(AE17=7,"D",IF(AE17=8,"CR",))))))))</f>
        <v>SSM</v>
      </c>
      <c r="F20" s="119"/>
      <c r="G20" s="119"/>
      <c r="H20" s="119"/>
      <c r="I20" s="120" t="str">
        <f>HLOOKUP(E20,AH15:AS16,2,FALSE)</f>
        <v/>
      </c>
      <c r="J20" s="120"/>
      <c r="K20" s="120"/>
      <c r="L20" s="49" t="s">
        <v>45</v>
      </c>
      <c r="M20" s="119" t="str">
        <f>IF(AE17=1,"CCM",IF(AE17=2,"GDL",IF(AE17=3,"(6-bolt) E4-",IF(AE17=4,"",IF(AE17=5,"",IF(AE17=6,"",IF(AE17=7,"",IF(AE17=8,"",))))))))</f>
        <v>CCM</v>
      </c>
      <c r="N20" s="119"/>
      <c r="O20" s="119"/>
      <c r="P20" s="119"/>
      <c r="Q20" s="121" t="str">
        <f>IFERROR(HLOOKUP(M20,AH15:AS16,2,FALSE),"")</f>
        <v/>
      </c>
      <c r="R20" s="121"/>
      <c r="S20" s="121"/>
      <c r="T20" s="49" t="s">
        <v>45</v>
      </c>
      <c r="U20" s="122" t="str">
        <f>IF(AE17=1,"",IF(AE17=2,"",IF(AE17=3,"(8-bolt) G4-",IF(AE17=4,"",IF(AE17=5,"",IF(AE17=6,"",IF(AE17=7,"",IF(AE17=8,"",))))))))</f>
        <v/>
      </c>
      <c r="V20" s="122"/>
      <c r="W20" s="122"/>
      <c r="X20" s="122"/>
      <c r="Y20" s="121" t="str">
        <f>IFERROR(HLOOKUP(U20,AH15:AS16,2,FALSE),"")</f>
        <v/>
      </c>
      <c r="Z20" s="121"/>
      <c r="AA20" s="121"/>
      <c r="AB20" s="46"/>
      <c r="AC20" s="46"/>
      <c r="AD20" s="46"/>
      <c r="AE20" s="19"/>
      <c r="AF20" s="19"/>
      <c r="AG20" s="22" t="s">
        <v>53</v>
      </c>
      <c r="AH20" s="93" t="str">
        <f t="shared" ref="AH20:AS20" si="0">IF(OR(AH19&gt;=AH18,AH19="  ---  "),"bore","torque")</f>
        <v>bore</v>
      </c>
      <c r="AI20" s="93" t="str">
        <f t="shared" si="0"/>
        <v>bore</v>
      </c>
      <c r="AJ20" s="93" t="str">
        <f t="shared" si="0"/>
        <v>bore</v>
      </c>
      <c r="AK20" s="93" t="str">
        <f t="shared" si="0"/>
        <v>bore</v>
      </c>
      <c r="AL20" s="93" t="str">
        <f t="shared" si="0"/>
        <v>bore</v>
      </c>
      <c r="AM20" s="93" t="str">
        <f t="shared" si="0"/>
        <v>bore</v>
      </c>
      <c r="AN20" s="93" t="str">
        <f t="shared" si="0"/>
        <v>bore</v>
      </c>
      <c r="AO20" s="93" t="str">
        <f>IF(OR(AO19&gt;=AO18,AO19="  ---  "),"bore","torque")</f>
        <v>bore</v>
      </c>
      <c r="AP20" s="93" t="str">
        <f t="shared" si="0"/>
        <v>bore</v>
      </c>
      <c r="AQ20" s="93" t="str">
        <f t="shared" si="0"/>
        <v>bore</v>
      </c>
      <c r="AR20" s="93" t="str">
        <f t="shared" si="0"/>
        <v>bore</v>
      </c>
      <c r="AS20" s="93" t="str">
        <f t="shared" si="0"/>
        <v>bore</v>
      </c>
      <c r="AT20" s="20"/>
    </row>
    <row r="21" spans="1:46" ht="18" customHeight="1" x14ac:dyDescent="0.3">
      <c r="A21" s="1"/>
      <c r="B21" s="1"/>
      <c r="C21" s="1"/>
      <c r="D21" s="5" t="s">
        <v>49</v>
      </c>
      <c r="E21" s="117" t="s">
        <v>48</v>
      </c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8"/>
      <c r="Z21" s="118"/>
      <c r="AA21" s="118"/>
      <c r="AB21" s="42" t="s">
        <v>8</v>
      </c>
      <c r="AC21" s="46"/>
      <c r="AD21" s="42"/>
      <c r="AE21" s="46"/>
      <c r="AF21" s="46"/>
      <c r="AG21" s="28" t="s">
        <v>63</v>
      </c>
      <c r="AH21" s="94" t="str">
        <f t="shared" ref="AH21:AS21" si="1">IF(AH19="","",IF(AH20="bore",AH19,AH18))</f>
        <v/>
      </c>
      <c r="AI21" s="94" t="str">
        <f t="shared" si="1"/>
        <v/>
      </c>
      <c r="AJ21" s="94" t="str">
        <f t="shared" si="1"/>
        <v/>
      </c>
      <c r="AK21" s="94" t="str">
        <f t="shared" si="1"/>
        <v/>
      </c>
      <c r="AL21" s="94" t="str">
        <f t="shared" si="1"/>
        <v/>
      </c>
      <c r="AM21" s="94" t="str">
        <f t="shared" si="1"/>
        <v/>
      </c>
      <c r="AN21" s="94" t="str">
        <f t="shared" si="1"/>
        <v/>
      </c>
      <c r="AO21" s="94" t="str">
        <f t="shared" si="1"/>
        <v/>
      </c>
      <c r="AP21" s="94" t="str">
        <f t="shared" si="1"/>
        <v/>
      </c>
      <c r="AQ21" s="94" t="str">
        <f t="shared" si="1"/>
        <v/>
      </c>
      <c r="AR21" s="94" t="str">
        <f t="shared" si="1"/>
        <v/>
      </c>
      <c r="AS21" s="94" t="str">
        <f t="shared" si="1"/>
        <v/>
      </c>
      <c r="AT21" s="20"/>
    </row>
    <row r="22" spans="1:46" ht="18" customHeight="1" x14ac:dyDescent="0.3">
      <c r="A22" s="1"/>
      <c r="B22" s="1"/>
      <c r="C22" s="1"/>
      <c r="D22" s="5"/>
      <c r="E22" s="99" t="s">
        <v>61</v>
      </c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1"/>
      <c r="Z22" s="1"/>
      <c r="AA22" s="53"/>
      <c r="AB22" s="42"/>
      <c r="AC22" s="46"/>
      <c r="AD22" s="42"/>
      <c r="AE22" s="16"/>
      <c r="AF22" s="1"/>
      <c r="AG22" s="48" t="s">
        <v>64</v>
      </c>
      <c r="AH22" s="84" t="str">
        <f>IF(AH18="  ---  ","  ---  ",AH21)</f>
        <v/>
      </c>
      <c r="AI22" s="84" t="str">
        <f>IF(AI19="  ---  ",AI18,AI21)</f>
        <v/>
      </c>
      <c r="AJ22" s="84" t="str">
        <f>IF(AJ18="  ---  ","  ---  ",AJ21)</f>
        <v/>
      </c>
      <c r="AK22" s="84" t="str">
        <f>IF(AK19="  ---  ",AK18,AK21)</f>
        <v/>
      </c>
      <c r="AL22" s="84" t="str">
        <f t="shared" ref="AL22:AS22" si="2">(AL21)</f>
        <v/>
      </c>
      <c r="AM22" s="84" t="str">
        <f t="shared" si="2"/>
        <v/>
      </c>
      <c r="AN22" s="84" t="str">
        <f t="shared" si="2"/>
        <v/>
      </c>
      <c r="AO22" s="84" t="str">
        <f>IF(AO18&gt;AO9,AO16,AO17)</f>
        <v/>
      </c>
      <c r="AP22" s="84" t="str">
        <f t="shared" si="2"/>
        <v/>
      </c>
      <c r="AQ22" s="84" t="str">
        <f t="shared" si="2"/>
        <v/>
      </c>
      <c r="AR22" s="84" t="str">
        <f>(AR21)</f>
        <v/>
      </c>
      <c r="AS22" s="84" t="str">
        <f t="shared" si="2"/>
        <v/>
      </c>
      <c r="AT22" s="20" t="s">
        <v>29</v>
      </c>
    </row>
    <row r="23" spans="1:46" ht="18" customHeight="1" x14ac:dyDescent="0.3">
      <c r="A23" s="1"/>
      <c r="B23" s="1"/>
      <c r="C23" s="1"/>
      <c r="D23" s="1"/>
      <c r="E23" s="127" t="str">
        <f>IF(AE17=1,"SSM",IF(AE17=2,"GD",IF(AE17=3,"(4-bolt) A3-",IF(AE17=4,"SH",IF(AE17=5,"RF",IF(AE17=6,"JAC",IF(AE17=7,"D",IF(AE17=8,"CR",))))))))</f>
        <v>SSM</v>
      </c>
      <c r="F23" s="127"/>
      <c r="G23" s="127"/>
      <c r="H23" s="127"/>
      <c r="I23" s="126" t="str">
        <f>HLOOKUP(E23,AH15:AS22,8,FALSE)</f>
        <v/>
      </c>
      <c r="J23" s="126"/>
      <c r="K23" s="126"/>
      <c r="L23" s="49" t="s">
        <v>45</v>
      </c>
      <c r="M23" s="127" t="str">
        <f>IF(AE17=1,"CCM",IF(AE17=2,"GDL",IF(AE17=3,"(6-bolt) E4-",IF(AE17=4,"",IF(AE17=5,"",IF(AE17=6,"",IF(AE17=7,"",IF(AE17=8,"",))))))))</f>
        <v>CCM</v>
      </c>
      <c r="N23" s="127"/>
      <c r="O23" s="127"/>
      <c r="P23" s="127"/>
      <c r="Q23" s="126" t="str">
        <f>IFERROR(HLOOKUP(M23,AH15:AS22,8,FALSE),"")</f>
        <v/>
      </c>
      <c r="R23" s="126"/>
      <c r="S23" s="126"/>
      <c r="T23" s="49" t="s">
        <v>45</v>
      </c>
      <c r="U23" s="126" t="str">
        <f>IF(AE17=1,"",IF(AE17=2,"",IF(AE17=3,"(8-bolt) G4-",IF(AE17=4,"",IF(AE17=5,"",IF(AE17=6,"",IF(AE17=7,"",IF(AE17=8,"",))))))))</f>
        <v/>
      </c>
      <c r="V23" s="126"/>
      <c r="W23" s="126"/>
      <c r="X23" s="126"/>
      <c r="Y23" s="126" t="str">
        <f>IFERROR(HLOOKUP(U23,AH15:AS22,8,FALSE),"")</f>
        <v/>
      </c>
      <c r="Z23" s="126"/>
      <c r="AA23" s="126"/>
      <c r="AB23" s="1"/>
      <c r="AC23" s="42"/>
      <c r="AD23" s="1"/>
      <c r="AE23" s="1"/>
      <c r="AF23" s="1"/>
      <c r="AG23" s="29"/>
    </row>
    <row r="24" spans="1:46" ht="18" customHeight="1" x14ac:dyDescent="0.3">
      <c r="A24" s="1"/>
      <c r="B24" s="1"/>
      <c r="C24" s="1"/>
      <c r="D24" s="1"/>
      <c r="E24" s="83"/>
      <c r="F24" s="83"/>
      <c r="G24" s="83"/>
      <c r="H24" s="83"/>
      <c r="I24" s="82"/>
      <c r="J24" s="82"/>
      <c r="K24" s="82"/>
      <c r="L24" s="80"/>
      <c r="M24" s="83"/>
      <c r="N24" s="83"/>
      <c r="O24" s="83"/>
      <c r="P24" s="83"/>
      <c r="Q24" s="82"/>
      <c r="R24" s="82"/>
      <c r="S24" s="82"/>
      <c r="T24" s="80"/>
      <c r="U24" s="82"/>
      <c r="V24" s="82"/>
      <c r="W24" s="82"/>
      <c r="X24" s="82"/>
      <c r="Y24" s="82"/>
      <c r="Z24" s="82"/>
      <c r="AA24" s="82"/>
      <c r="AB24" s="1"/>
      <c r="AC24" s="42"/>
      <c r="AD24" s="1"/>
      <c r="AE24" s="1"/>
      <c r="AF24" s="1"/>
      <c r="AG24" s="29"/>
    </row>
    <row r="25" spans="1:46" ht="18" customHeight="1" x14ac:dyDescent="0.3">
      <c r="A25" s="1"/>
      <c r="B25" s="1"/>
      <c r="C25" s="1"/>
      <c r="D25" s="1"/>
      <c r="E25" s="120" t="s">
        <v>67</v>
      </c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82"/>
      <c r="AB25" s="1"/>
      <c r="AC25" s="42"/>
      <c r="AD25" s="1"/>
      <c r="AE25" s="1"/>
      <c r="AF25" s="1"/>
      <c r="AG25" s="29"/>
    </row>
    <row r="26" spans="1:46" ht="18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H26" s="29"/>
    </row>
    <row r="27" spans="1:46" ht="18" customHeight="1" x14ac:dyDescent="0.3">
      <c r="A27" s="1"/>
      <c r="B27" s="1"/>
      <c r="C27" s="1"/>
      <c r="D27" s="1"/>
      <c r="E27" s="1"/>
      <c r="F27" s="1"/>
      <c r="G27" s="1"/>
      <c r="H27" s="123" t="s">
        <v>62</v>
      </c>
      <c r="I27" s="123"/>
      <c r="J27" s="123"/>
      <c r="K27" s="123"/>
      <c r="L27" s="123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46" ht="18" customHeight="1" x14ac:dyDescent="0.3">
      <c r="A28" s="1"/>
      <c r="B28" s="1"/>
      <c r="C28" s="1"/>
      <c r="D28" s="47"/>
      <c r="E28" s="47"/>
      <c r="F28" s="47"/>
      <c r="G28" s="47"/>
      <c r="H28" s="110" t="s">
        <v>55</v>
      </c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46" ht="18" customHeight="1" x14ac:dyDescent="0.3">
      <c r="A29" s="1"/>
      <c r="B29" s="1"/>
      <c r="C29" s="1"/>
      <c r="D29" s="1"/>
      <c r="E29" s="1"/>
      <c r="F29" s="1"/>
      <c r="G29" s="1"/>
      <c r="H29" s="110" t="s">
        <v>56</v>
      </c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46" ht="18" customHeight="1" x14ac:dyDescent="0.3">
      <c r="A30" s="1"/>
      <c r="B30" s="1"/>
      <c r="C30" s="1"/>
      <c r="D30" s="1"/>
      <c r="E30" s="1"/>
      <c r="F30" s="1"/>
      <c r="G30" s="1"/>
      <c r="H30" s="124" t="s">
        <v>54</v>
      </c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46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95" t="s">
        <v>66</v>
      </c>
      <c r="V31" s="9"/>
      <c r="W31" s="9"/>
      <c r="X31" s="9"/>
      <c r="Y31" s="9"/>
      <c r="Z31" s="9"/>
      <c r="AA31" s="9"/>
      <c r="AB31" s="1"/>
      <c r="AC31" s="1"/>
      <c r="AD31" s="1"/>
    </row>
    <row r="32" spans="1:46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x14ac:dyDescent="0.3">
      <c r="AD34" s="1"/>
    </row>
  </sheetData>
  <sheetProtection algorithmName="SHA-512" hashValue="pCaT375btKRqT1ybqRa/4gxnUfaUkjM60RYgkOztmcNikY9aBsFA0oP5Gwhk5btd6s47UNoNm+b0v+Ho+G63ug==" saltValue="lnoVwKuD+KWcu+jY9M4jBw==" spinCount="100000" sheet="1" objects="1" scenarios="1" selectLockedCells="1"/>
  <mergeCells count="49">
    <mergeCell ref="H27:L27"/>
    <mergeCell ref="H28:T28"/>
    <mergeCell ref="H29:T29"/>
    <mergeCell ref="H30:T30"/>
    <mergeCell ref="Y23:AA23"/>
    <mergeCell ref="E23:H23"/>
    <mergeCell ref="M23:P23"/>
    <mergeCell ref="U23:X23"/>
    <mergeCell ref="I23:K23"/>
    <mergeCell ref="Q23:S23"/>
    <mergeCell ref="E25:Z25"/>
    <mergeCell ref="E22:X22"/>
    <mergeCell ref="E19:Q19"/>
    <mergeCell ref="E21:X21"/>
    <mergeCell ref="Y21:AA21"/>
    <mergeCell ref="E20:H20"/>
    <mergeCell ref="I20:K20"/>
    <mergeCell ref="M20:P20"/>
    <mergeCell ref="Y20:AA20"/>
    <mergeCell ref="U20:X20"/>
    <mergeCell ref="Q20:S20"/>
    <mergeCell ref="C16:W16"/>
    <mergeCell ref="R19:V19"/>
    <mergeCell ref="W19:Y19"/>
    <mergeCell ref="AA7:AB7"/>
    <mergeCell ref="V14:Z14"/>
    <mergeCell ref="AA14:AB14"/>
    <mergeCell ref="V13:Z13"/>
    <mergeCell ref="T8:U8"/>
    <mergeCell ref="V8:Z8"/>
    <mergeCell ref="T7:U7"/>
    <mergeCell ref="V7:Z7"/>
    <mergeCell ref="T9:U9"/>
    <mergeCell ref="V9:Z9"/>
    <mergeCell ref="V12:Z12"/>
    <mergeCell ref="AA13:AB13"/>
    <mergeCell ref="AA8:AB8"/>
    <mergeCell ref="J2:AA2"/>
    <mergeCell ref="K12:O12"/>
    <mergeCell ref="K13:O13"/>
    <mergeCell ref="V10:Z10"/>
    <mergeCell ref="D3:Z3"/>
    <mergeCell ref="C10:R10"/>
    <mergeCell ref="C9:R9"/>
    <mergeCell ref="C8:R8"/>
    <mergeCell ref="C12:H13"/>
    <mergeCell ref="I12:J13"/>
    <mergeCell ref="C7:N7"/>
    <mergeCell ref="C5:T5"/>
  </mergeCells>
  <phoneticPr fontId="1" type="noConversion"/>
  <hyperlinks>
    <hyperlink ref="H30" r:id="rId1"/>
  </hyperlinks>
  <printOptions horizontalCentered="1"/>
  <pageMargins left="0.70866141732283472" right="0.70866141732283472" top="1.1417322834645669" bottom="0.74803149606299213" header="0.31496062992125984" footer="0.31496062992125984"/>
  <pageSetup paperSize="9" scale="92" orientation="portrait" verticalDpi="300" r:id="rId2"/>
  <headerFooter alignWithMargins="0"/>
  <colBreaks count="1" manualBreakCount="1">
    <brk id="30" max="1048575" man="1"/>
  </col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5" name="Option Button 3">
              <controlPr locked="0" defaultSize="0" autoFill="0" autoLine="0" autoPict="0">
                <anchor>
                  <from>
                    <xdr:col>21</xdr:col>
                    <xdr:colOff>38100</xdr:colOff>
                    <xdr:row>4</xdr:row>
                    <xdr:rowOff>9525</xdr:rowOff>
                  </from>
                  <to>
                    <xdr:col>23</xdr:col>
                    <xdr:colOff>76200</xdr:colOff>
                    <xdr:row>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Option Button 4">
              <controlPr locked="0" defaultSize="0" autoFill="0" autoLine="0" autoPict="0">
                <anchor>
                  <from>
                    <xdr:col>23</xdr:col>
                    <xdr:colOff>133350</xdr:colOff>
                    <xdr:row>4</xdr:row>
                    <xdr:rowOff>19050</xdr:rowOff>
                  </from>
                  <to>
                    <xdr:col>26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Drop Down 7">
              <controlPr defaultSize="0" autoLine="0" autoPict="0">
                <anchor>
                  <from>
                    <xdr:col>3</xdr:col>
                    <xdr:colOff>9525</xdr:colOff>
                    <xdr:row>16</xdr:row>
                    <xdr:rowOff>19050</xdr:rowOff>
                  </from>
                  <to>
                    <xdr:col>15</xdr:col>
                    <xdr:colOff>114300</xdr:colOff>
                    <xdr:row>16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계산</vt:lpstr>
      <vt:lpstr>계산!Print_Area</vt:lpstr>
    </vt:vector>
  </TitlesOfParts>
  <Company>Organization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user</cp:lastModifiedBy>
  <cp:lastPrinted>2017-06-29T00:35:19Z</cp:lastPrinted>
  <dcterms:created xsi:type="dcterms:W3CDTF">2013-08-28T00:41:04Z</dcterms:created>
  <dcterms:modified xsi:type="dcterms:W3CDTF">2017-06-29T05:44:48Z</dcterms:modified>
</cp:coreProperties>
</file>